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0"/>
  </bookViews>
  <sheets>
    <sheet name="UNICE" sheetId="1" r:id="rId1"/>
    <sheet name="PENS" sheetId="2" r:id="rId2"/>
    <sheet name="pensionar CV" sheetId="3" r:id="rId3"/>
    <sheet name="DIABET" sheetId="4" r:id="rId4"/>
    <sheet name="INS" sheetId="5" r:id="rId5"/>
    <sheet name="MIXT" sheetId="6" r:id="rId6"/>
    <sheet name="TESTE" sheetId="7" r:id="rId7"/>
    <sheet name="COST VOLUM ONCO" sheetId="8" r:id="rId8"/>
    <sheet name="ONCO" sheetId="9" r:id="rId9"/>
    <sheet name="POSTT" sheetId="10" r:id="rId10"/>
    <sheet name="SCLEROZ" sheetId="11" r:id="rId11"/>
    <sheet name="CV UNICE" sheetId="12" r:id="rId12"/>
    <sheet name="MUCOV" sheetId="13" r:id="rId13"/>
  </sheets>
  <definedNames>
    <definedName name="_xlnm.Print_Area" localSheetId="7">'COST VOLUM ONCO'!$A$1:$I$41</definedName>
    <definedName name="_xlnm.Print_Area" localSheetId="11">'CV UNICE'!$A$1:$I$41</definedName>
  </definedNames>
  <calcPr fullCalcOnLoad="1"/>
</workbook>
</file>

<file path=xl/sharedStrings.xml><?xml version="1.0" encoding="utf-8"?>
<sst xmlns="http://schemas.openxmlformats.org/spreadsheetml/2006/main" count="550" uniqueCount="93">
  <si>
    <t>Nr.crt.</t>
  </si>
  <si>
    <t>Denumirea unitatii</t>
  </si>
  <si>
    <t>Lista A</t>
  </si>
  <si>
    <t>Lista B</t>
  </si>
  <si>
    <t>Lista C1</t>
  </si>
  <si>
    <t>Lista C3</t>
  </si>
  <si>
    <t>ADONIS</t>
  </si>
  <si>
    <t xml:space="preserve">RICHTER GEDEON </t>
  </si>
  <si>
    <t>FARMA-LINE</t>
  </si>
  <si>
    <t>KOL-KING</t>
  </si>
  <si>
    <t>MEDICOM</t>
  </si>
  <si>
    <t>SALVIA</t>
  </si>
  <si>
    <t>TRANSFARM</t>
  </si>
  <si>
    <t>AMBROSIA</t>
  </si>
  <si>
    <t>SIEPCOFAR-DONA</t>
  </si>
  <si>
    <t>SALVATOR</t>
  </si>
  <si>
    <t>MARIA</t>
  </si>
  <si>
    <t>HERMANN</t>
  </si>
  <si>
    <t>FARMIRA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</si>
  <si>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</si>
  <si>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</si>
  <si>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</si>
  <si>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</si>
  <si>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</si>
  <si>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</si>
  <si>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</si>
  <si>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</si>
  <si>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</si>
  <si>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MOHOS</t>
  </si>
  <si>
    <t>CATENA</t>
  </si>
  <si>
    <t>SQUARE</t>
  </si>
  <si>
    <t>TOTAL GENERAL</t>
  </si>
  <si>
    <t>Consum MED.50%CNAS</t>
  </si>
  <si>
    <t>Consum MED.40%M.S.</t>
  </si>
  <si>
    <t xml:space="preserve">Consum PENSIONARI  </t>
  </si>
  <si>
    <t>Consum DIABET</t>
  </si>
  <si>
    <t>MIXT</t>
  </si>
  <si>
    <t>Diabet</t>
  </si>
  <si>
    <t xml:space="preserve">Insuline </t>
  </si>
  <si>
    <t>Consum mixt</t>
  </si>
  <si>
    <t>MISS B.PHARMA</t>
  </si>
  <si>
    <t>LOTUS PHARMA</t>
  </si>
  <si>
    <t>ECOFARMACIA NETWORK</t>
  </si>
  <si>
    <t>Total consum unice</t>
  </si>
  <si>
    <t>KINCSOPHARM</t>
  </si>
  <si>
    <t>KAMILLA PLUS</t>
  </si>
  <si>
    <t>Lista D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</si>
  <si>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</si>
  <si>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</si>
  <si>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</si>
  <si>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</si>
  <si>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</si>
  <si>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</si>
  <si>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</si>
  <si>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</si>
  <si>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</si>
  <si>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</si>
  <si>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</si>
  <si>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</si>
  <si>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>KOVAPROD</t>
  </si>
  <si>
    <t>BRETCU</t>
  </si>
  <si>
    <t>LENA FARMACEUTICA</t>
  </si>
  <si>
    <t>IANUARIE</t>
  </si>
  <si>
    <t>TEST ADULT</t>
  </si>
  <si>
    <t>TEST COPII</t>
  </si>
  <si>
    <t>Consum INSULINA</t>
  </si>
  <si>
    <t>CONSUM ONCO COST VOLUM</t>
  </si>
  <si>
    <t>MUCOVISCIDOZA ADULT</t>
  </si>
  <si>
    <t>MUCOVISCIDOZA COPII</t>
  </si>
  <si>
    <t>ONCOLOGIE</t>
  </si>
  <si>
    <t xml:space="preserve">CONSUM </t>
  </si>
  <si>
    <t>ELPISBIOFARMA</t>
  </si>
  <si>
    <t>G3</t>
  </si>
  <si>
    <t>G1</t>
  </si>
  <si>
    <t>MED CV LISTA B</t>
  </si>
  <si>
    <t>TOTAL UNICE CV</t>
  </si>
  <si>
    <t>G11</t>
  </si>
  <si>
    <t>G26</t>
  </si>
  <si>
    <t>Consum PENSIONARI COST VOLUM</t>
  </si>
  <si>
    <t>G22</t>
  </si>
  <si>
    <t>SITUATIA CONSUMULUI DE MEDICAMENTE IN LUNA NOIEMBRIE 2020</t>
  </si>
  <si>
    <t>SITUATIA CONSUMULUI DE MEDICAMENTE PENTRU PENSIONARI CU PENSII&lt;= 1299 LEI NOIEMBRIE 2020</t>
  </si>
  <si>
    <t>SITUATIA CONSUMULUI DE MEDICAMENTE COST VOLUM PENTRU PENSIONARI  PANA LA 1299 LEI NOIEMBRIE 2020</t>
  </si>
  <si>
    <t>SITUATIA CONSUMULUI DE MEDICAMENTE PENTRU DIABET   LUNA NOIEMBRIE 2020</t>
  </si>
  <si>
    <t>SITUATIA CONSUMULUI DE MEDICAMENTE PENTRU INSULINE LUNA NOIEMBRIE 2020</t>
  </si>
  <si>
    <t>SITUATIA CONSUMULUI DE MEDICAMENTE LA  DIABET SI INSULINE NOIEMBRIE 2020</t>
  </si>
  <si>
    <t>SITUATIA CONSUMULUI LA TESTE PENTRU LUNA NOIEMBRIE 2020</t>
  </si>
  <si>
    <t>SITUATIA CONSUMULUI DE MEDICAMENTE PENTRU PNS COST VOLUM   LUNA NOIEMBRIE 2020</t>
  </si>
  <si>
    <t>SITUATIA CONSUMULUI DE MEDICAMENTE PENTRU ONCOLOGIE  LUNA NOIEMBRIE 2020</t>
  </si>
  <si>
    <t>SITUATIA CONSUMULUI DE MEDICAMENTE LA STARI POSTTRANSPLANT NOIEMBRIE 2020</t>
  </si>
  <si>
    <t>SITUATIA CONSUMULUI DE MEDICAMENTE PENTRU SCLEROZA   LUNA NOIEMBRIE 2020</t>
  </si>
  <si>
    <t>SITUATIA CONSUMULUI DE MEDIC. PENTRU UNICE COST VOLUM   LUNA NOIEMBRIE 2020</t>
  </si>
  <si>
    <t>SITUATIA CONSUMULUI DE MEDICAMENTE LA STARI MUCOVISCIDOZA NOIEMBRIE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</si>
</sst>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8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shrinkToFi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3" fillId="0" borderId="1" xfId="0" applyNumberFormat="1" applyFont="1" applyBorder="1" applyAlignment="1">
      <alignment/>
    </xf>
    <xf numFmtId="4" fontId="13" fillId="2" borderId="1" xfId="0" applyNumberFormat="1" applyFont="1" applyFill="1" applyBorder="1" applyAlignment="1">
      <alignment/>
    </xf>
    <xf numFmtId="4" fontId="14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Border="1" applyAlignment="1">
      <alignment/>
    </xf>
    <xf numFmtId="4" fontId="5" fillId="0" borderId="0" xfId="0" applyNumberFormat="1" applyFont="1" applyAlignment="1">
      <alignment/>
    </xf>
    <xf numFmtId="4" fontId="12" fillId="0" borderId="7" xfId="0" applyNumberFormat="1" applyFont="1" applyFill="1" applyBorder="1" applyAlignment="1">
      <alignment/>
    </xf>
    <xf numFmtId="4" fontId="12" fillId="0" borderId="8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0" borderId="2" xfId="0" applyBorder="1" applyAlignment="1">
      <alignment horizontal="center"/>
    </xf>
    <xf numFmtId="4" fontId="8" fillId="2" borderId="2" xfId="0" applyNumberFormat="1" applyFont="1" applyFill="1" applyBorder="1" applyAlignment="1">
      <alignment horizontal="left"/>
    </xf>
    <xf numFmtId="4" fontId="1" fillId="2" borderId="9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D271"/>
  <sheetViews>
    <sheetView tabSelected="1" workbookViewId="0" topLeftCell="A1">
      <selection activeCell="T1" sqref="T1:V16384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21.42187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7" bestFit="1" customWidth="1"/>
    <col min="9" max="9" width="12.140625" style="0" customWidth="1"/>
    <col min="10" max="10" width="14.140625" style="0" bestFit="1" customWidth="1"/>
    <col min="11" max="11" width="14.28125" style="0" bestFit="1" customWidth="1"/>
    <col min="12" max="12" width="15.57421875" style="0" bestFit="1" customWidth="1"/>
    <col min="13" max="13" width="16.8515625" style="0" customWidth="1"/>
    <col min="14" max="14" width="15.57421875" style="0" customWidth="1"/>
    <col min="15" max="15" width="15.57421875" style="0" bestFit="1" customWidth="1"/>
    <col min="16" max="16" width="17.28125" style="0" bestFit="1" customWidth="1"/>
    <col min="17" max="17" width="16.00390625" style="0" bestFit="1" customWidth="1"/>
    <col min="18" max="18" width="18.421875" style="0" bestFit="1" customWidth="1"/>
    <col min="19" max="19" width="18.421875" style="12" bestFit="1" customWidth="1"/>
    <col min="20" max="20" width="9.140625" style="4" customWidth="1"/>
    <col min="21" max="21" width="11.7109375" style="4" bestFit="1" customWidth="1"/>
    <col min="22" max="56" width="9.140625" style="4" customWidth="1"/>
  </cols>
  <sheetData>
    <row r="3" spans="2:19" ht="15.75">
      <c r="B3" s="19" t="s">
        <v>80</v>
      </c>
      <c r="C3" s="20"/>
      <c r="D3" s="20"/>
      <c r="E3" s="20"/>
      <c r="F3" s="21"/>
      <c r="G3" s="21"/>
      <c r="H3" s="22"/>
      <c r="I3" s="20"/>
      <c r="J3" s="20"/>
      <c r="K3" s="20"/>
      <c r="L3" s="20"/>
      <c r="M3" s="20"/>
      <c r="N3" s="20"/>
      <c r="O3" s="20"/>
      <c r="P3" s="20"/>
      <c r="Q3" s="20"/>
      <c r="R3" s="23"/>
      <c r="S3" s="24"/>
    </row>
    <row r="4" spans="1:19" ht="31.5">
      <c r="A4" s="50" t="s">
        <v>0</v>
      </c>
      <c r="B4" s="51" t="s">
        <v>1</v>
      </c>
      <c r="C4" s="52" t="s">
        <v>2</v>
      </c>
      <c r="D4" s="52" t="s">
        <v>3</v>
      </c>
      <c r="E4" s="52" t="s">
        <v>4</v>
      </c>
      <c r="F4" s="52" t="s">
        <v>5</v>
      </c>
      <c r="G4" s="52" t="s">
        <v>46</v>
      </c>
      <c r="H4" s="53" t="s">
        <v>48</v>
      </c>
      <c r="I4" s="52" t="s">
        <v>49</v>
      </c>
      <c r="J4" s="52" t="s">
        <v>53</v>
      </c>
      <c r="K4" s="52" t="s">
        <v>50</v>
      </c>
      <c r="L4" s="52" t="s">
        <v>51</v>
      </c>
      <c r="M4" s="52" t="s">
        <v>56</v>
      </c>
      <c r="N4" s="52" t="s">
        <v>54</v>
      </c>
      <c r="O4" s="52" t="s">
        <v>52</v>
      </c>
      <c r="P4" s="52" t="s">
        <v>55</v>
      </c>
      <c r="Q4" s="52" t="s">
        <v>58</v>
      </c>
      <c r="R4" s="54" t="s">
        <v>43</v>
      </c>
      <c r="S4" s="53" t="s">
        <v>57</v>
      </c>
    </row>
    <row r="5" spans="1:21" ht="15.75">
      <c r="A5" s="55">
        <v>1</v>
      </c>
      <c r="B5" s="56" t="s">
        <v>6</v>
      </c>
      <c r="C5" s="25">
        <f>31773.04+8335.65+5005.78+3003.37</f>
        <v>48117.840000000004</v>
      </c>
      <c r="D5" s="25">
        <f>38317.65+5952.43+4354.73+2228.64</f>
        <v>50853.45</v>
      </c>
      <c r="E5" s="25">
        <f>47460.62+3922.06+5034.12+1048.13</f>
        <v>57464.93</v>
      </c>
      <c r="F5" s="25">
        <f>1292.01+203.49+368.83+222.26</f>
        <v>2086.59</v>
      </c>
      <c r="G5" s="25">
        <f>3743.23+426.39+400.13+247.54</f>
        <v>4817.29</v>
      </c>
      <c r="H5" s="26"/>
      <c r="I5" s="25"/>
      <c r="J5" s="25"/>
      <c r="K5" s="25">
        <v>2262.5</v>
      </c>
      <c r="L5" s="25">
        <v>29870.96</v>
      </c>
      <c r="M5" s="25"/>
      <c r="N5" s="25">
        <v>5046.03</v>
      </c>
      <c r="O5" s="25"/>
      <c r="P5" s="25">
        <v>10787.95</v>
      </c>
      <c r="Q5" s="57">
        <f>H5+I5+J5+K5+L5+M5+N5+O5+P5</f>
        <v>47967.44</v>
      </c>
      <c r="R5" s="58">
        <f aca="true" t="shared" si="0" ref="R5:R39">C5+D5+E5+F5+G5+H5+I5+J5+K5+L5+M5+N5+O5+P5</f>
        <v>211307.54</v>
      </c>
      <c r="S5" s="59">
        <f>R5-Q5</f>
        <v>163340.1</v>
      </c>
      <c r="U5" s="62"/>
    </row>
    <row r="6" spans="1:21" ht="15.75">
      <c r="A6" s="55">
        <v>2</v>
      </c>
      <c r="B6" s="56" t="s">
        <v>7</v>
      </c>
      <c r="C6" s="25">
        <f>8761.47+6684.63</f>
        <v>15446.099999999999</v>
      </c>
      <c r="D6" s="25">
        <f>11510.68+6190.45</f>
        <v>17701.13</v>
      </c>
      <c r="E6" s="25">
        <f>3867.57+3664.91</f>
        <v>7532.48</v>
      </c>
      <c r="F6" s="25">
        <f>265.06+6.06</f>
        <v>271.12</v>
      </c>
      <c r="G6" s="25">
        <f>1474.09+1026.22</f>
        <v>2500.31</v>
      </c>
      <c r="H6" s="26"/>
      <c r="I6" s="25"/>
      <c r="J6" s="25">
        <v>2264.29</v>
      </c>
      <c r="K6" s="25"/>
      <c r="L6" s="25">
        <f>3315+3639.27</f>
        <v>6954.27</v>
      </c>
      <c r="M6" s="25"/>
      <c r="N6" s="25">
        <v>2783.53</v>
      </c>
      <c r="O6" s="25"/>
      <c r="P6" s="25"/>
      <c r="Q6" s="57">
        <f aca="true" t="shared" si="1" ref="Q6:Q39">H6+I6+J6+K6+L6+M6+N6+O6+P6</f>
        <v>12002.090000000002</v>
      </c>
      <c r="R6" s="58">
        <f t="shared" si="0"/>
        <v>55453.229999999996</v>
      </c>
      <c r="S6" s="59">
        <f aca="true" t="shared" si="2" ref="S6:S39">R6-Q6</f>
        <v>43451.13999999999</v>
      </c>
      <c r="U6" s="62"/>
    </row>
    <row r="7" spans="1:21" ht="15.75">
      <c r="A7" s="55">
        <v>3</v>
      </c>
      <c r="B7" s="56" t="s">
        <v>8</v>
      </c>
      <c r="C7" s="25">
        <f>5898.07+4273.6+3523.56+9919.46</f>
        <v>23614.69</v>
      </c>
      <c r="D7" s="25">
        <f>7201.67+4203.16+5167.33+8448.87</f>
        <v>25021.03</v>
      </c>
      <c r="E7" s="25">
        <f>3150.88+2902.66+1339.52+5735.67</f>
        <v>13128.73</v>
      </c>
      <c r="F7" s="25">
        <f>736.83+804.35+918.12+1446.16</f>
        <v>3905.46</v>
      </c>
      <c r="G7" s="25">
        <f>709.05+743.7+333.61+931.19</f>
        <v>2717.55</v>
      </c>
      <c r="H7" s="26"/>
      <c r="I7" s="25"/>
      <c r="J7" s="25"/>
      <c r="K7" s="25"/>
      <c r="L7" s="25"/>
      <c r="M7" s="25"/>
      <c r="N7" s="25"/>
      <c r="O7" s="25"/>
      <c r="P7" s="25"/>
      <c r="Q7" s="57">
        <f t="shared" si="1"/>
        <v>0</v>
      </c>
      <c r="R7" s="58">
        <f t="shared" si="0"/>
        <v>68387.46</v>
      </c>
      <c r="S7" s="59">
        <f t="shared" si="2"/>
        <v>68387.46</v>
      </c>
      <c r="U7" s="62"/>
    </row>
    <row r="8" spans="1:21" ht="15.75">
      <c r="A8" s="55">
        <v>4</v>
      </c>
      <c r="B8" s="56" t="s">
        <v>9</v>
      </c>
      <c r="C8" s="25">
        <f>7116.85+8218.64+6070.49</f>
        <v>21405.98</v>
      </c>
      <c r="D8" s="25">
        <f>5196.07+7853.32+6879.26</f>
        <v>19928.65</v>
      </c>
      <c r="E8" s="25">
        <f>4372.56+4150.38+3724.19</f>
        <v>12247.130000000001</v>
      </c>
      <c r="F8" s="25">
        <f>561.3+163.54+15.08</f>
        <v>739.92</v>
      </c>
      <c r="G8" s="25">
        <f>1817.01+1110.14+682.73</f>
        <v>3609.88</v>
      </c>
      <c r="H8" s="26"/>
      <c r="I8" s="25"/>
      <c r="J8" s="25"/>
      <c r="K8" s="25"/>
      <c r="L8" s="25"/>
      <c r="M8" s="25"/>
      <c r="N8" s="25"/>
      <c r="O8" s="25"/>
      <c r="P8" s="25"/>
      <c r="Q8" s="57">
        <f t="shared" si="1"/>
        <v>0</v>
      </c>
      <c r="R8" s="58">
        <f t="shared" si="0"/>
        <v>57931.560000000005</v>
      </c>
      <c r="S8" s="59">
        <f t="shared" si="2"/>
        <v>57931.560000000005</v>
      </c>
      <c r="U8" s="62"/>
    </row>
    <row r="9" spans="1:21" ht="15.75">
      <c r="A9" s="55">
        <v>5</v>
      </c>
      <c r="B9" s="56" t="s">
        <v>10</v>
      </c>
      <c r="C9" s="25">
        <f>17740.33+1642.56</f>
        <v>19382.890000000003</v>
      </c>
      <c r="D9" s="25">
        <f>27063.29+1141.79</f>
        <v>28205.08</v>
      </c>
      <c r="E9" s="25">
        <f>24289.99+475.78</f>
        <v>24765.77</v>
      </c>
      <c r="F9" s="26">
        <f>757.22+15.18</f>
        <v>772.4</v>
      </c>
      <c r="G9" s="25">
        <f>2898.53+149</f>
        <v>3047.53</v>
      </c>
      <c r="H9" s="26"/>
      <c r="J9" s="25"/>
      <c r="K9" s="25"/>
      <c r="L9" s="25">
        <v>2262.5</v>
      </c>
      <c r="M9" s="25"/>
      <c r="N9" s="25">
        <v>2589.12</v>
      </c>
      <c r="O9" s="25"/>
      <c r="P9" s="25"/>
      <c r="Q9" s="57">
        <f t="shared" si="1"/>
        <v>4851.62</v>
      </c>
      <c r="R9" s="58">
        <f t="shared" si="0"/>
        <v>81025.29</v>
      </c>
      <c r="S9" s="59">
        <f t="shared" si="2"/>
        <v>76173.67</v>
      </c>
      <c r="U9" s="62"/>
    </row>
    <row r="10" spans="1:23" ht="15.75">
      <c r="A10" s="55">
        <v>6</v>
      </c>
      <c r="B10" s="56" t="s">
        <v>11</v>
      </c>
      <c r="C10" s="25">
        <f>17827.6+11944.97+4936.29+8847.19+13085.79</f>
        <v>56641.840000000004</v>
      </c>
      <c r="D10" s="25">
        <f>21357.85+12756.71+5537.74+7237.53+18346.09</f>
        <v>65235.92</v>
      </c>
      <c r="E10" s="25">
        <f>24965.12+7757.64+3565.68+4385.47+57518.57</f>
        <v>98192.48</v>
      </c>
      <c r="F10" s="25">
        <f>769.21+1191.19+77.43+776.43+1941.28</f>
        <v>4755.54</v>
      </c>
      <c r="G10" s="25">
        <f>2683.22+1243.36+443.18+760.5+1794.87</f>
        <v>6925.13</v>
      </c>
      <c r="H10" s="26">
        <v>904.51</v>
      </c>
      <c r="I10" s="25"/>
      <c r="J10" s="25"/>
      <c r="K10" s="25">
        <v>3255.44</v>
      </c>
      <c r="L10" s="25">
        <f>3315+11082.12+6557.12</f>
        <v>20954.24</v>
      </c>
      <c r="M10" s="25"/>
      <c r="N10" s="25">
        <f>6049.69+2262.5</f>
        <v>8312.189999999999</v>
      </c>
      <c r="O10" s="25"/>
      <c r="P10" s="25">
        <v>5032.62</v>
      </c>
      <c r="Q10" s="57">
        <f t="shared" si="1"/>
        <v>38459.00000000001</v>
      </c>
      <c r="R10" s="58">
        <f t="shared" si="0"/>
        <v>270209.91</v>
      </c>
      <c r="S10" s="59">
        <f t="shared" si="2"/>
        <v>231750.90999999997</v>
      </c>
      <c r="U10" s="62"/>
      <c r="W10" s="72"/>
    </row>
    <row r="11" spans="1:21" ht="15.75">
      <c r="A11" s="55">
        <v>7</v>
      </c>
      <c r="B11" s="56" t="s">
        <v>59</v>
      </c>
      <c r="C11" s="25">
        <f>17918.74+16858.15+8549.58+6787.82+7476.76+1845.5+5287.47</f>
        <v>64724.020000000004</v>
      </c>
      <c r="D11" s="25">
        <f>26698.98+17445.07+9844.02+8101.34+8725.3+1199.31+4591.28</f>
        <v>76605.3</v>
      </c>
      <c r="E11" s="25">
        <f>14263.51+11856.09+3062.49+6576.77+6523.62+1587.56+6266.52</f>
        <v>50136.56</v>
      </c>
      <c r="F11" s="25">
        <f>600.66+455.28+617.16+266.24+518.68+438.45</f>
        <v>2896.47</v>
      </c>
      <c r="G11" s="25">
        <f>3219.53+1791.71+1157.85+1079.84+887.29+160.35+536.57</f>
        <v>8833.14</v>
      </c>
      <c r="H11" s="26">
        <v>327.79</v>
      </c>
      <c r="I11" s="25"/>
      <c r="J11" s="25"/>
      <c r="K11" s="25">
        <v>2262.5</v>
      </c>
      <c r="L11" s="25">
        <v>2262.5</v>
      </c>
      <c r="M11" s="25"/>
      <c r="N11" s="25">
        <v>2262.5</v>
      </c>
      <c r="O11" s="25"/>
      <c r="P11" s="25"/>
      <c r="Q11" s="57">
        <f t="shared" si="1"/>
        <v>7115.29</v>
      </c>
      <c r="R11" s="58">
        <f t="shared" si="0"/>
        <v>210310.78</v>
      </c>
      <c r="S11" s="59">
        <f t="shared" si="2"/>
        <v>203195.49</v>
      </c>
      <c r="U11" s="62"/>
    </row>
    <row r="12" spans="1:21" ht="15.75">
      <c r="A12" s="55">
        <v>8</v>
      </c>
      <c r="B12" s="56" t="s">
        <v>12</v>
      </c>
      <c r="C12" s="25">
        <v>11243.32</v>
      </c>
      <c r="D12" s="25">
        <v>25449.29</v>
      </c>
      <c r="E12" s="25">
        <v>27546.41</v>
      </c>
      <c r="F12" s="25">
        <v>464.13</v>
      </c>
      <c r="G12" s="25">
        <v>936.44</v>
      </c>
      <c r="H12" s="26">
        <v>491.69</v>
      </c>
      <c r="I12" s="25">
        <v>163.89</v>
      </c>
      <c r="J12" s="25">
        <v>3404.54</v>
      </c>
      <c r="K12" s="25"/>
      <c r="L12" s="25">
        <v>10539.56</v>
      </c>
      <c r="M12" s="25"/>
      <c r="N12" s="25">
        <v>13067.8</v>
      </c>
      <c r="O12" s="25"/>
      <c r="P12" s="25"/>
      <c r="Q12" s="57">
        <f t="shared" si="1"/>
        <v>27667.48</v>
      </c>
      <c r="R12" s="58">
        <f t="shared" si="0"/>
        <v>93307.06999999999</v>
      </c>
      <c r="S12" s="59">
        <f t="shared" si="2"/>
        <v>65639.59</v>
      </c>
      <c r="U12" s="62"/>
    </row>
    <row r="13" spans="1:21" ht="15.75">
      <c r="A13" s="55">
        <v>9</v>
      </c>
      <c r="B13" s="56" t="s">
        <v>13</v>
      </c>
      <c r="C13" s="25">
        <f>8027.66+10795.1</f>
        <v>18822.760000000002</v>
      </c>
      <c r="D13" s="27">
        <f>10683.6+15214.59</f>
        <v>25898.190000000002</v>
      </c>
      <c r="E13" s="25">
        <f>16263.12+6943.57</f>
        <v>23206.690000000002</v>
      </c>
      <c r="F13" s="25">
        <f>227.41+401.48</f>
        <v>628.89</v>
      </c>
      <c r="G13" s="25">
        <f>1068.25+1230.61</f>
        <v>2298.8599999999997</v>
      </c>
      <c r="H13" s="26"/>
      <c r="I13" s="25"/>
      <c r="J13" s="25"/>
      <c r="K13" s="25"/>
      <c r="L13" s="25"/>
      <c r="M13" s="25"/>
      <c r="N13" s="25"/>
      <c r="O13" s="25"/>
      <c r="P13" s="25"/>
      <c r="Q13" s="57">
        <f t="shared" si="1"/>
        <v>0</v>
      </c>
      <c r="R13" s="58">
        <f t="shared" si="0"/>
        <v>70855.39000000001</v>
      </c>
      <c r="S13" s="59">
        <f t="shared" si="2"/>
        <v>70855.39000000001</v>
      </c>
      <c r="U13" s="62"/>
    </row>
    <row r="14" spans="1:21" ht="15.75">
      <c r="A14" s="55">
        <v>10</v>
      </c>
      <c r="B14" s="56" t="s">
        <v>14</v>
      </c>
      <c r="C14" s="25">
        <f>21705.79+15991.87+22498.75</f>
        <v>60196.41</v>
      </c>
      <c r="D14" s="25">
        <f>25394.18+19208.7+28053.41</f>
        <v>72656.29000000001</v>
      </c>
      <c r="E14" s="25">
        <f>10597.42+10674.97+13645.96</f>
        <v>34918.35</v>
      </c>
      <c r="F14" s="25">
        <f>700.92+374.63+1154.33</f>
        <v>2229.88</v>
      </c>
      <c r="G14" s="25">
        <f>3285.31+1764.1+2007.96</f>
        <v>7057.37</v>
      </c>
      <c r="H14" s="26">
        <v>163.9</v>
      </c>
      <c r="I14" s="25"/>
      <c r="J14" s="25"/>
      <c r="K14" s="25"/>
      <c r="L14" s="25">
        <f>2783.53+2262.5+7829.56</f>
        <v>12875.59</v>
      </c>
      <c r="M14" s="25">
        <f>2262.5</f>
        <v>2262.5</v>
      </c>
      <c r="N14" s="25">
        <f>7308.53+10702.28</f>
        <v>18010.81</v>
      </c>
      <c r="O14" s="25"/>
      <c r="P14" s="25"/>
      <c r="Q14" s="57">
        <f t="shared" si="1"/>
        <v>33312.8</v>
      </c>
      <c r="R14" s="58">
        <f t="shared" si="0"/>
        <v>210371.1</v>
      </c>
      <c r="S14" s="59">
        <f t="shared" si="2"/>
        <v>177058.3</v>
      </c>
      <c r="U14" s="62"/>
    </row>
    <row r="15" spans="1:21" ht="15.75">
      <c r="A15" s="55">
        <v>11</v>
      </c>
      <c r="B15" s="56" t="s">
        <v>15</v>
      </c>
      <c r="C15" s="25">
        <v>28147.45</v>
      </c>
      <c r="D15" s="25">
        <v>33520.47</v>
      </c>
      <c r="E15" s="25">
        <v>23443.79</v>
      </c>
      <c r="F15" s="25">
        <v>1452.02</v>
      </c>
      <c r="G15" s="25">
        <v>4081.03</v>
      </c>
      <c r="H15" s="26"/>
      <c r="I15" s="25"/>
      <c r="J15" s="25"/>
      <c r="K15" s="25"/>
      <c r="L15" s="25">
        <v>2262.5</v>
      </c>
      <c r="M15" s="25"/>
      <c r="N15" s="25"/>
      <c r="O15" s="25"/>
      <c r="P15" s="25"/>
      <c r="Q15" s="57">
        <f t="shared" si="1"/>
        <v>2262.5</v>
      </c>
      <c r="R15" s="58">
        <f t="shared" si="0"/>
        <v>92907.26</v>
      </c>
      <c r="S15" s="59">
        <f t="shared" si="2"/>
        <v>90644.76</v>
      </c>
      <c r="U15" s="62"/>
    </row>
    <row r="16" spans="1:22" ht="15.75">
      <c r="A16" s="55">
        <v>12</v>
      </c>
      <c r="B16" s="56" t="s">
        <v>16</v>
      </c>
      <c r="C16" s="25">
        <v>19071.22</v>
      </c>
      <c r="D16" s="25">
        <v>15076.05</v>
      </c>
      <c r="E16" s="25">
        <v>4126.9</v>
      </c>
      <c r="F16" s="25">
        <v>965.32</v>
      </c>
      <c r="G16" s="25">
        <v>1924.74</v>
      </c>
      <c r="H16" s="26"/>
      <c r="I16" s="25"/>
      <c r="J16" s="25"/>
      <c r="K16" s="25"/>
      <c r="L16" s="25"/>
      <c r="M16" s="25"/>
      <c r="N16" s="25"/>
      <c r="O16" s="25"/>
      <c r="P16" s="25"/>
      <c r="Q16" s="57">
        <f t="shared" si="1"/>
        <v>0</v>
      </c>
      <c r="R16" s="58">
        <f t="shared" si="0"/>
        <v>41164.23</v>
      </c>
      <c r="S16" s="59">
        <f t="shared" si="2"/>
        <v>41164.23</v>
      </c>
      <c r="T16" s="11"/>
      <c r="U16" s="62"/>
      <c r="V16" s="11"/>
    </row>
    <row r="17" spans="1:21" ht="15.75">
      <c r="A17" s="55">
        <v>13</v>
      </c>
      <c r="B17" s="56" t="s">
        <v>17</v>
      </c>
      <c r="C17" s="25">
        <f>32717.47+14139.52+6911.78</f>
        <v>53768.770000000004</v>
      </c>
      <c r="D17" s="25">
        <f>28254.36+10984.71+5484.67</f>
        <v>44723.74</v>
      </c>
      <c r="E17" s="25">
        <f>16802.4+7776.35+3570.98</f>
        <v>28149.73</v>
      </c>
      <c r="F17" s="25">
        <f>2209.79+982.53+66.21</f>
        <v>3258.5299999999997</v>
      </c>
      <c r="G17" s="25">
        <f>2715.5+648.66+220.89</f>
        <v>3585.0499999999997</v>
      </c>
      <c r="H17" s="26"/>
      <c r="I17" s="25"/>
      <c r="J17" s="25">
        <v>3403.62</v>
      </c>
      <c r="K17" s="25"/>
      <c r="L17" s="25"/>
      <c r="M17" s="25"/>
      <c r="N17" s="25"/>
      <c r="O17" s="25"/>
      <c r="P17" s="25"/>
      <c r="Q17" s="57">
        <f t="shared" si="1"/>
        <v>3403.62</v>
      </c>
      <c r="R17" s="58">
        <f t="shared" si="0"/>
        <v>136889.44</v>
      </c>
      <c r="S17" s="59">
        <f t="shared" si="2"/>
        <v>133485.82</v>
      </c>
      <c r="U17" s="62"/>
    </row>
    <row r="18" spans="1:21" ht="15.75">
      <c r="A18" s="55">
        <v>14</v>
      </c>
      <c r="B18" s="56" t="s">
        <v>18</v>
      </c>
      <c r="C18" s="25">
        <f>10633.81+3730.31</f>
        <v>14364.119999999999</v>
      </c>
      <c r="D18" s="25">
        <f>11812+3398.97</f>
        <v>15210.97</v>
      </c>
      <c r="E18" s="25">
        <f>3303.63+1378.09</f>
        <v>4681.72</v>
      </c>
      <c r="F18" s="25">
        <f>574.78+217.69</f>
        <v>792.47</v>
      </c>
      <c r="G18" s="25">
        <f>1671.12+566.12</f>
        <v>2237.24</v>
      </c>
      <c r="H18" s="28"/>
      <c r="I18" s="25"/>
      <c r="J18" s="25"/>
      <c r="K18" s="25"/>
      <c r="L18" s="25"/>
      <c r="M18" s="25"/>
      <c r="N18" s="25"/>
      <c r="O18" s="25"/>
      <c r="P18" s="25"/>
      <c r="Q18" s="57">
        <f t="shared" si="1"/>
        <v>0</v>
      </c>
      <c r="R18" s="58">
        <f t="shared" si="0"/>
        <v>37286.52</v>
      </c>
      <c r="S18" s="59">
        <f t="shared" si="2"/>
        <v>37286.52</v>
      </c>
      <c r="U18" s="62"/>
    </row>
    <row r="19" spans="1:21" ht="15.75">
      <c r="A19" s="55">
        <v>15</v>
      </c>
      <c r="B19" s="56" t="s">
        <v>19</v>
      </c>
      <c r="C19" s="25">
        <v>0</v>
      </c>
      <c r="D19" s="25">
        <v>0</v>
      </c>
      <c r="E19" s="25">
        <v>0</v>
      </c>
      <c r="F19" s="65">
        <v>0</v>
      </c>
      <c r="G19" s="64">
        <v>0</v>
      </c>
      <c r="H19" s="26"/>
      <c r="I19" s="25"/>
      <c r="J19" s="25"/>
      <c r="K19" s="25"/>
      <c r="L19" s="25"/>
      <c r="M19" s="25"/>
      <c r="N19" s="25"/>
      <c r="O19" s="25"/>
      <c r="P19" s="25"/>
      <c r="Q19" s="57">
        <f t="shared" si="1"/>
        <v>0</v>
      </c>
      <c r="R19" s="58">
        <f t="shared" si="0"/>
        <v>0</v>
      </c>
      <c r="S19" s="59">
        <f t="shared" si="2"/>
        <v>0</v>
      </c>
      <c r="U19" s="62"/>
    </row>
    <row r="20" spans="1:21" ht="15.75">
      <c r="A20" s="55">
        <v>16</v>
      </c>
      <c r="B20" s="56" t="s">
        <v>20</v>
      </c>
      <c r="C20" s="25">
        <f>4238.19+4021.04+2325.78+3063.41</f>
        <v>13648.42</v>
      </c>
      <c r="D20" s="25">
        <f>3941.14+3873.61+1343.46+4175.5</f>
        <v>13333.71</v>
      </c>
      <c r="E20" s="25">
        <f>2361.99+450.62+1033.48+1156.37</f>
        <v>5002.459999999999</v>
      </c>
      <c r="F20" s="25">
        <f>957.55+321.75+138.54+222.93</f>
        <v>1640.77</v>
      </c>
      <c r="G20" s="25">
        <f>1190.7+551.63+237.33+466.64</f>
        <v>2446.2999999999997</v>
      </c>
      <c r="H20" s="26"/>
      <c r="I20" s="25"/>
      <c r="J20" s="25"/>
      <c r="K20" s="25"/>
      <c r="L20" s="25"/>
      <c r="M20" s="25"/>
      <c r="N20" s="25"/>
      <c r="O20" s="25"/>
      <c r="P20" s="25"/>
      <c r="Q20" s="57">
        <f t="shared" si="1"/>
        <v>0</v>
      </c>
      <c r="R20" s="58">
        <f t="shared" si="0"/>
        <v>36071.659999999996</v>
      </c>
      <c r="S20" s="59">
        <f t="shared" si="2"/>
        <v>36071.659999999996</v>
      </c>
      <c r="U20" s="62"/>
    </row>
    <row r="21" spans="1:21" ht="15.75">
      <c r="A21" s="55">
        <v>17</v>
      </c>
      <c r="B21" s="56" t="s">
        <v>21</v>
      </c>
      <c r="C21" s="25">
        <v>17273.72</v>
      </c>
      <c r="D21" s="25">
        <v>17008.93</v>
      </c>
      <c r="E21" s="25">
        <v>8894.24</v>
      </c>
      <c r="F21" s="25">
        <v>545.91</v>
      </c>
      <c r="G21" s="25">
        <v>2602.96</v>
      </c>
      <c r="H21" s="26">
        <v>163.9</v>
      </c>
      <c r="I21" s="25"/>
      <c r="J21" s="25"/>
      <c r="K21" s="25"/>
      <c r="L21" s="25"/>
      <c r="M21" s="25"/>
      <c r="N21" s="25">
        <v>3787.19</v>
      </c>
      <c r="O21" s="25"/>
      <c r="P21" s="25"/>
      <c r="Q21" s="57">
        <f t="shared" si="1"/>
        <v>3951.09</v>
      </c>
      <c r="R21" s="58">
        <f t="shared" si="0"/>
        <v>50276.850000000006</v>
      </c>
      <c r="S21" s="59">
        <f t="shared" si="2"/>
        <v>46325.76000000001</v>
      </c>
      <c r="U21" s="62"/>
    </row>
    <row r="22" spans="1:21" ht="15.75">
      <c r="A22" s="55">
        <v>18</v>
      </c>
      <c r="B22" s="56" t="s">
        <v>22</v>
      </c>
      <c r="C22" s="25">
        <f>14418.99+4805.05+17159.64+2910.12+10183.63+3575.55</f>
        <v>53052.98</v>
      </c>
      <c r="D22" s="25">
        <f>17803.77+5352.31+18016.52+4609.87+6573.58+4762</f>
        <v>57118.05000000001</v>
      </c>
      <c r="E22" s="25">
        <f>19389.99+8747.06+14378.24+351.67+407.65+2727.34</f>
        <v>46001.95</v>
      </c>
      <c r="F22" s="25">
        <f>663.26+535.57+575+182.41+11679.09+578.49</f>
        <v>14213.82</v>
      </c>
      <c r="G22" s="25">
        <f>1837.51+378.69+2986.24+320.08+423.25+62.74</f>
        <v>6008.509999999999</v>
      </c>
      <c r="H22" s="26">
        <v>983.39</v>
      </c>
      <c r="I22" s="25"/>
      <c r="J22" s="25"/>
      <c r="K22" s="25"/>
      <c r="L22" s="25">
        <v>2783.53</v>
      </c>
      <c r="M22" s="25"/>
      <c r="N22" s="25"/>
      <c r="O22" s="25"/>
      <c r="P22" s="25"/>
      <c r="Q22" s="57">
        <f t="shared" si="1"/>
        <v>3766.92</v>
      </c>
      <c r="R22" s="58">
        <f t="shared" si="0"/>
        <v>180162.23000000004</v>
      </c>
      <c r="S22" s="59">
        <f t="shared" si="2"/>
        <v>176395.31000000003</v>
      </c>
      <c r="U22" s="62"/>
    </row>
    <row r="23" spans="1:21" ht="15.75">
      <c r="A23" s="55">
        <v>19</v>
      </c>
      <c r="B23" s="56" t="s">
        <v>23</v>
      </c>
      <c r="C23" s="25">
        <v>3853.22</v>
      </c>
      <c r="D23" s="25">
        <v>3270.76</v>
      </c>
      <c r="E23" s="25">
        <v>3249.29</v>
      </c>
      <c r="F23" s="25">
        <v>112.91</v>
      </c>
      <c r="G23" s="25">
        <v>161.68</v>
      </c>
      <c r="H23" s="26"/>
      <c r="I23" s="25"/>
      <c r="J23" s="25"/>
      <c r="K23" s="25"/>
      <c r="L23" s="25"/>
      <c r="M23" s="25"/>
      <c r="N23" s="25"/>
      <c r="O23" s="25"/>
      <c r="P23" s="25"/>
      <c r="Q23" s="57">
        <f t="shared" si="1"/>
        <v>0</v>
      </c>
      <c r="R23" s="58">
        <f t="shared" si="0"/>
        <v>10647.86</v>
      </c>
      <c r="S23" s="59">
        <f t="shared" si="2"/>
        <v>10647.86</v>
      </c>
      <c r="U23" s="62"/>
    </row>
    <row r="24" spans="1:21" ht="15.75">
      <c r="A24" s="55">
        <v>20</v>
      </c>
      <c r="B24" s="56" t="s">
        <v>24</v>
      </c>
      <c r="C24" s="25">
        <f>5975.43+3671.82</f>
        <v>9647.25</v>
      </c>
      <c r="D24" s="25">
        <f>4123.38+6286.84</f>
        <v>10410.220000000001</v>
      </c>
      <c r="E24" s="25">
        <f>2863.18+1866.22</f>
        <v>4729.4</v>
      </c>
      <c r="F24" s="25">
        <f>1544.95+719.48</f>
        <v>2264.4300000000003</v>
      </c>
      <c r="G24" s="25">
        <f>563.49+530.34</f>
        <v>1093.83</v>
      </c>
      <c r="H24" s="26"/>
      <c r="I24" s="25"/>
      <c r="J24" s="25"/>
      <c r="K24" s="25"/>
      <c r="L24" s="25"/>
      <c r="M24" s="25"/>
      <c r="N24" s="25"/>
      <c r="O24" s="25"/>
      <c r="P24" s="25"/>
      <c r="Q24" s="57">
        <f t="shared" si="1"/>
        <v>0</v>
      </c>
      <c r="R24" s="58">
        <f t="shared" si="0"/>
        <v>28145.130000000005</v>
      </c>
      <c r="S24" s="59">
        <f t="shared" si="2"/>
        <v>28145.130000000005</v>
      </c>
      <c r="U24" s="62"/>
    </row>
    <row r="25" spans="1:21" ht="15.75">
      <c r="A25" s="55">
        <v>21</v>
      </c>
      <c r="B25" s="56" t="s">
        <v>25</v>
      </c>
      <c r="C25" s="25">
        <f>4826.58+6936.35+14224.93+5904.27</f>
        <v>31892.13</v>
      </c>
      <c r="D25" s="25">
        <f>5366.95+10593.5+21506.38+6317.59</f>
        <v>43784.42</v>
      </c>
      <c r="E25" s="25">
        <f>3356.49+7082.94+20434.5+1972.04</f>
        <v>32845.97</v>
      </c>
      <c r="F25" s="25">
        <f>252.63+242.84+4249.83+524.19</f>
        <v>5269.49</v>
      </c>
      <c r="G25" s="25">
        <f>576.19+872.9+2109.43+325.28</f>
        <v>3883.8</v>
      </c>
      <c r="H25" s="25">
        <f>491.67+163.89+412.81</f>
        <v>1068.37</v>
      </c>
      <c r="I25" s="25"/>
      <c r="J25" s="25"/>
      <c r="K25" s="25"/>
      <c r="L25" s="25">
        <f>62617.56+4294.62</f>
        <v>66912.18</v>
      </c>
      <c r="M25" s="25">
        <v>2262.5</v>
      </c>
      <c r="N25" s="25">
        <v>4525</v>
      </c>
      <c r="O25" s="25"/>
      <c r="P25" s="25">
        <v>12443.75</v>
      </c>
      <c r="Q25" s="57">
        <f t="shared" si="1"/>
        <v>87211.79999999999</v>
      </c>
      <c r="R25" s="58">
        <f t="shared" si="0"/>
        <v>204887.61</v>
      </c>
      <c r="S25" s="59">
        <f t="shared" si="2"/>
        <v>117675.81</v>
      </c>
      <c r="U25" s="62"/>
    </row>
    <row r="26" spans="1:21" ht="15.75">
      <c r="A26" s="55">
        <v>22</v>
      </c>
      <c r="B26" s="56" t="s">
        <v>26</v>
      </c>
      <c r="C26" s="25">
        <v>2389.23</v>
      </c>
      <c r="D26" s="25">
        <v>4883.49</v>
      </c>
      <c r="E26" s="25">
        <v>2811.4</v>
      </c>
      <c r="F26" s="25">
        <v>70.2</v>
      </c>
      <c r="G26" s="25">
        <v>496.21</v>
      </c>
      <c r="H26" s="26"/>
      <c r="I26" s="25"/>
      <c r="J26" s="25"/>
      <c r="K26" s="25"/>
      <c r="L26" s="25"/>
      <c r="M26" s="25"/>
      <c r="N26" s="25">
        <v>3787.19</v>
      </c>
      <c r="O26" s="25"/>
      <c r="P26" s="25"/>
      <c r="Q26" s="57">
        <f t="shared" si="1"/>
        <v>3787.19</v>
      </c>
      <c r="R26" s="58">
        <f t="shared" si="0"/>
        <v>14437.72</v>
      </c>
      <c r="S26" s="59">
        <f t="shared" si="2"/>
        <v>10650.529999999999</v>
      </c>
      <c r="U26" s="62"/>
    </row>
    <row r="27" spans="1:21" ht="15.75">
      <c r="A27" s="55">
        <v>23</v>
      </c>
      <c r="B27" s="56" t="s">
        <v>27</v>
      </c>
      <c r="C27" s="25">
        <f>9025.78+5844.59</f>
        <v>14870.37</v>
      </c>
      <c r="D27" s="25">
        <f>13051.96+4933.83</f>
        <v>17985.79</v>
      </c>
      <c r="E27" s="25">
        <f>4566.36+1726.28</f>
        <v>6292.639999999999</v>
      </c>
      <c r="F27" s="25">
        <f>418.08+1199.87</f>
        <v>1617.9499999999998</v>
      </c>
      <c r="G27" s="25">
        <f>1445.38+645.57</f>
        <v>2090.9500000000003</v>
      </c>
      <c r="H27" s="26"/>
      <c r="I27" s="25"/>
      <c r="J27" s="25"/>
      <c r="K27" s="25"/>
      <c r="L27" s="25">
        <v>3315</v>
      </c>
      <c r="M27" s="25"/>
      <c r="N27" s="25"/>
      <c r="O27" s="25">
        <v>2340.4</v>
      </c>
      <c r="P27" s="25"/>
      <c r="Q27" s="57">
        <f t="shared" si="1"/>
        <v>5655.4</v>
      </c>
      <c r="R27" s="58">
        <f t="shared" si="0"/>
        <v>48513.1</v>
      </c>
      <c r="S27" s="59">
        <f t="shared" si="2"/>
        <v>42857.7</v>
      </c>
      <c r="U27" s="62"/>
    </row>
    <row r="28" spans="1:21" ht="15.75">
      <c r="A28" s="55">
        <v>24</v>
      </c>
      <c r="B28" s="56" t="s">
        <v>28</v>
      </c>
      <c r="C28" s="25">
        <f>6120.32+3886.23</f>
        <v>10006.55</v>
      </c>
      <c r="D28" s="25">
        <f>6036.81+3170.99</f>
        <v>9207.8</v>
      </c>
      <c r="E28" s="25">
        <f>11293.54+2133.53</f>
        <v>13427.070000000002</v>
      </c>
      <c r="F28" s="25">
        <f>95.6+31.27</f>
        <v>126.86999999999999</v>
      </c>
      <c r="G28" s="25">
        <f>687.38+467.84</f>
        <v>1155.22</v>
      </c>
      <c r="H28" s="26"/>
      <c r="I28" s="25"/>
      <c r="J28" s="25"/>
      <c r="K28" s="25"/>
      <c r="L28" s="25"/>
      <c r="M28" s="25"/>
      <c r="N28" s="25"/>
      <c r="O28" s="25"/>
      <c r="P28" s="25"/>
      <c r="Q28" s="57">
        <f t="shared" si="1"/>
        <v>0</v>
      </c>
      <c r="R28" s="58">
        <f t="shared" si="0"/>
        <v>33923.51</v>
      </c>
      <c r="S28" s="59">
        <f t="shared" si="2"/>
        <v>33923.51</v>
      </c>
      <c r="U28" s="62"/>
    </row>
    <row r="29" spans="1:21" ht="15.75">
      <c r="A29" s="55">
        <v>25</v>
      </c>
      <c r="B29" s="56" t="s">
        <v>29</v>
      </c>
      <c r="C29" s="25">
        <f>18610.88+14967.45+20019.03</f>
        <v>53597.36</v>
      </c>
      <c r="D29" s="25">
        <f>28814.08+24413.3+19787.86</f>
        <v>73015.24</v>
      </c>
      <c r="E29" s="25">
        <f>14764.9+5479.72+7861.69</f>
        <v>28106.309999999998</v>
      </c>
      <c r="F29" s="25">
        <f>846.41+1127.19+454.13</f>
        <v>2427.73</v>
      </c>
      <c r="G29" s="25">
        <f>2038.05+1903.25+2502.5</f>
        <v>6443.8</v>
      </c>
      <c r="H29" s="26">
        <v>327.79</v>
      </c>
      <c r="I29" s="25"/>
      <c r="J29" s="25"/>
      <c r="K29" s="25"/>
      <c r="L29" s="25"/>
      <c r="M29" s="25">
        <v>2262.5</v>
      </c>
      <c r="N29" s="25"/>
      <c r="O29" s="25"/>
      <c r="P29" s="25"/>
      <c r="Q29" s="57">
        <f t="shared" si="1"/>
        <v>2590.29</v>
      </c>
      <c r="R29" s="58">
        <f t="shared" si="0"/>
        <v>166180.73</v>
      </c>
      <c r="S29" s="59">
        <f t="shared" si="2"/>
        <v>163590.44</v>
      </c>
      <c r="U29" s="62"/>
    </row>
    <row r="30" spans="1:21" ht="15.75">
      <c r="A30" s="55">
        <v>26</v>
      </c>
      <c r="B30" s="56" t="s">
        <v>30</v>
      </c>
      <c r="C30" s="25">
        <f>34291.35+5053.92</f>
        <v>39345.27</v>
      </c>
      <c r="D30" s="25">
        <f>41780.32+3945.29</f>
        <v>45725.61</v>
      </c>
      <c r="E30" s="25">
        <f>13362.69+884.4</f>
        <v>14247.09</v>
      </c>
      <c r="F30" s="25">
        <f>2337.82+405.44</f>
        <v>2743.26</v>
      </c>
      <c r="G30" s="25">
        <f>4894.22+766.17</f>
        <v>5660.39</v>
      </c>
      <c r="H30" s="26">
        <v>655.59</v>
      </c>
      <c r="I30" s="25"/>
      <c r="J30" s="25"/>
      <c r="K30" s="25"/>
      <c r="L30" s="25">
        <v>2783.53</v>
      </c>
      <c r="M30" s="25"/>
      <c r="N30" s="25">
        <v>4525</v>
      </c>
      <c r="O30" s="25"/>
      <c r="P30" s="25"/>
      <c r="Q30" s="57">
        <f t="shared" si="1"/>
        <v>7964.120000000001</v>
      </c>
      <c r="R30" s="58">
        <f t="shared" si="0"/>
        <v>115685.73999999999</v>
      </c>
      <c r="S30" s="59">
        <f t="shared" si="2"/>
        <v>107721.62</v>
      </c>
      <c r="U30" s="62"/>
    </row>
    <row r="31" spans="1:21" ht="15.75">
      <c r="A31" s="55">
        <v>27</v>
      </c>
      <c r="B31" s="56" t="s">
        <v>40</v>
      </c>
      <c r="C31" s="25">
        <v>3708.79</v>
      </c>
      <c r="D31" s="25">
        <v>5025.34</v>
      </c>
      <c r="E31" s="25">
        <v>1833.6</v>
      </c>
      <c r="F31" s="25">
        <v>246.06</v>
      </c>
      <c r="G31" s="25">
        <v>238.19</v>
      </c>
      <c r="H31" s="26"/>
      <c r="I31" s="25"/>
      <c r="J31" s="25"/>
      <c r="K31" s="25"/>
      <c r="L31" s="25"/>
      <c r="M31" s="25"/>
      <c r="N31" s="25"/>
      <c r="O31" s="25"/>
      <c r="P31" s="25"/>
      <c r="Q31" s="57">
        <f t="shared" si="1"/>
        <v>0</v>
      </c>
      <c r="R31" s="58">
        <f t="shared" si="0"/>
        <v>11051.980000000001</v>
      </c>
      <c r="S31" s="59">
        <f t="shared" si="2"/>
        <v>11051.980000000001</v>
      </c>
      <c r="U31" s="62"/>
    </row>
    <row r="32" spans="1:21" ht="15.75">
      <c r="A32" s="55">
        <v>28</v>
      </c>
      <c r="B32" s="56" t="s">
        <v>41</v>
      </c>
      <c r="C32" s="25">
        <f>13100.77+1623.9+2851.18+3815.07+2899.59</f>
        <v>24290.51</v>
      </c>
      <c r="D32" s="25">
        <f>12247.21+1764.92+2323.11+5521.55+2418.89</f>
        <v>24275.68</v>
      </c>
      <c r="E32" s="25">
        <f>12730.83+1123.56+2468.44+4171.39+837.2</f>
        <v>21331.420000000002</v>
      </c>
      <c r="F32" s="25">
        <f>643.95+139.8+181.15+18.49</f>
        <v>983.39</v>
      </c>
      <c r="G32" s="25">
        <f>1199.32+232.7+241.89+412.46+364.4</f>
        <v>2450.77</v>
      </c>
      <c r="H32" s="26"/>
      <c r="I32" s="25"/>
      <c r="J32" s="25">
        <v>1702.27</v>
      </c>
      <c r="K32" s="25"/>
      <c r="L32" s="25"/>
      <c r="M32" s="25">
        <v>2783.53</v>
      </c>
      <c r="N32" s="25"/>
      <c r="O32" s="25"/>
      <c r="P32" s="25"/>
      <c r="Q32" s="57">
        <f t="shared" si="1"/>
        <v>4485.8</v>
      </c>
      <c r="R32" s="58">
        <f t="shared" si="0"/>
        <v>77817.57</v>
      </c>
      <c r="S32" s="59">
        <f t="shared" si="2"/>
        <v>73331.77</v>
      </c>
      <c r="U32" s="62"/>
    </row>
    <row r="33" spans="1:21" ht="15.75">
      <c r="A33" s="55">
        <v>29</v>
      </c>
      <c r="B33" s="56" t="s">
        <v>42</v>
      </c>
      <c r="C33" s="25">
        <v>18559.38</v>
      </c>
      <c r="D33" s="25">
        <v>25561.59</v>
      </c>
      <c r="E33" s="25">
        <v>7413.35</v>
      </c>
      <c r="F33" s="25">
        <v>856.21</v>
      </c>
      <c r="G33" s="25">
        <v>2216.15</v>
      </c>
      <c r="H33" s="26"/>
      <c r="I33" s="25"/>
      <c r="J33" s="25"/>
      <c r="K33" s="25"/>
      <c r="L33" s="25"/>
      <c r="M33" s="25"/>
      <c r="N33" s="25"/>
      <c r="O33" s="25"/>
      <c r="P33" s="25"/>
      <c r="Q33" s="57">
        <f t="shared" si="1"/>
        <v>0</v>
      </c>
      <c r="R33" s="58">
        <f t="shared" si="0"/>
        <v>54606.68</v>
      </c>
      <c r="S33" s="59">
        <f t="shared" si="2"/>
        <v>54606.68</v>
      </c>
      <c r="U33" s="62"/>
    </row>
    <row r="34" spans="1:21" ht="15.75">
      <c r="A34" s="55">
        <v>30</v>
      </c>
      <c r="B34" s="56" t="s">
        <v>44</v>
      </c>
      <c r="C34" s="25">
        <v>7907.33</v>
      </c>
      <c r="D34" s="25">
        <v>7025.33</v>
      </c>
      <c r="E34" s="25">
        <v>5000.57</v>
      </c>
      <c r="F34" s="25">
        <v>442.03</v>
      </c>
      <c r="G34" s="25">
        <v>586.07</v>
      </c>
      <c r="H34" s="26"/>
      <c r="I34" s="25"/>
      <c r="J34" s="25"/>
      <c r="K34" s="25"/>
      <c r="L34" s="25"/>
      <c r="M34" s="25"/>
      <c r="N34" s="25"/>
      <c r="O34" s="25"/>
      <c r="P34" s="25"/>
      <c r="Q34" s="57">
        <f t="shared" si="1"/>
        <v>0</v>
      </c>
      <c r="R34" s="58">
        <f t="shared" si="0"/>
        <v>20961.329999999998</v>
      </c>
      <c r="S34" s="59">
        <f t="shared" si="2"/>
        <v>20961.329999999998</v>
      </c>
      <c r="U34" s="62"/>
    </row>
    <row r="35" spans="1:21" ht="15.75">
      <c r="A35" s="55">
        <v>31</v>
      </c>
      <c r="B35" s="56" t="s">
        <v>45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6"/>
      <c r="I35" s="25"/>
      <c r="J35" s="25"/>
      <c r="K35" s="25"/>
      <c r="L35" s="25"/>
      <c r="M35" s="25"/>
      <c r="N35" s="25"/>
      <c r="O35" s="25"/>
      <c r="P35" s="25"/>
      <c r="Q35" s="57">
        <f t="shared" si="1"/>
        <v>0</v>
      </c>
      <c r="R35" s="58">
        <f t="shared" si="0"/>
        <v>0</v>
      </c>
      <c r="S35" s="59">
        <f t="shared" si="2"/>
        <v>0</v>
      </c>
      <c r="U35" s="62"/>
    </row>
    <row r="36" spans="1:56" s="48" customFormat="1" ht="15.75">
      <c r="A36" s="55">
        <v>32</v>
      </c>
      <c r="B36" s="56" t="s">
        <v>47</v>
      </c>
      <c r="C36" s="25">
        <v>6573.79</v>
      </c>
      <c r="D36" s="25">
        <v>8212.66</v>
      </c>
      <c r="E36" s="25">
        <v>5692.2</v>
      </c>
      <c r="F36" s="25">
        <v>277.09</v>
      </c>
      <c r="G36" s="25">
        <v>827.79</v>
      </c>
      <c r="H36" s="25"/>
      <c r="I36" s="25"/>
      <c r="J36" s="25"/>
      <c r="K36" s="25"/>
      <c r="L36" s="25"/>
      <c r="M36" s="25"/>
      <c r="N36" s="25"/>
      <c r="O36" s="25"/>
      <c r="P36" s="25"/>
      <c r="Q36" s="57">
        <f t="shared" si="1"/>
        <v>0</v>
      </c>
      <c r="R36" s="58">
        <f t="shared" si="0"/>
        <v>21583.530000000002</v>
      </c>
      <c r="S36" s="59">
        <f t="shared" si="2"/>
        <v>21583.530000000002</v>
      </c>
      <c r="T36" s="4"/>
      <c r="U36" s="62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21" s="4" customFormat="1" ht="15.75">
      <c r="A37" s="55">
        <v>33</v>
      </c>
      <c r="B37" s="56" t="s">
        <v>60</v>
      </c>
      <c r="C37" s="25">
        <v>3950.36</v>
      </c>
      <c r="D37" s="25">
        <v>4573.8</v>
      </c>
      <c r="E37" s="25">
        <v>1311.42</v>
      </c>
      <c r="F37" s="25">
        <v>142.07</v>
      </c>
      <c r="G37" s="25">
        <v>340.32</v>
      </c>
      <c r="H37" s="25"/>
      <c r="I37" s="25"/>
      <c r="J37" s="25"/>
      <c r="K37" s="25"/>
      <c r="L37" s="25"/>
      <c r="M37" s="25"/>
      <c r="N37" s="25"/>
      <c r="O37" s="25"/>
      <c r="P37" s="25"/>
      <c r="Q37" s="57">
        <f t="shared" si="1"/>
        <v>0</v>
      </c>
      <c r="R37" s="58">
        <f t="shared" si="0"/>
        <v>10317.97</v>
      </c>
      <c r="S37" s="59">
        <f t="shared" si="2"/>
        <v>10317.97</v>
      </c>
      <c r="U37" s="62"/>
    </row>
    <row r="38" spans="1:21" s="4" customFormat="1" ht="15.75">
      <c r="A38" s="55">
        <v>34</v>
      </c>
      <c r="B38" s="56" t="s">
        <v>61</v>
      </c>
      <c r="C38" s="25">
        <v>5536.26</v>
      </c>
      <c r="D38" s="25">
        <v>5442.29</v>
      </c>
      <c r="E38" s="25">
        <v>936.48</v>
      </c>
      <c r="F38" s="25">
        <v>2301.42</v>
      </c>
      <c r="G38" s="25">
        <v>780.58</v>
      </c>
      <c r="H38" s="25"/>
      <c r="I38" s="25"/>
      <c r="J38" s="25"/>
      <c r="K38" s="25"/>
      <c r="L38" s="25"/>
      <c r="M38" s="25"/>
      <c r="N38" s="25"/>
      <c r="O38" s="25"/>
      <c r="P38" s="25"/>
      <c r="Q38" s="57">
        <f t="shared" si="1"/>
        <v>0</v>
      </c>
      <c r="R38" s="58">
        <f t="shared" si="0"/>
        <v>14997.029999999999</v>
      </c>
      <c r="S38" s="59">
        <f t="shared" si="2"/>
        <v>14997.029999999999</v>
      </c>
      <c r="U38" s="62"/>
    </row>
    <row r="39" spans="1:21" s="4" customFormat="1" ht="16.5" thickBot="1">
      <c r="A39" s="55">
        <v>35</v>
      </c>
      <c r="B39" s="56" t="s">
        <v>71</v>
      </c>
      <c r="C39" s="25">
        <v>4384.55</v>
      </c>
      <c r="D39" s="25">
        <v>2665.28</v>
      </c>
      <c r="E39" s="25">
        <v>1936.92</v>
      </c>
      <c r="F39" s="25">
        <v>857.77</v>
      </c>
      <c r="G39" s="25">
        <v>389.06</v>
      </c>
      <c r="H39" s="25"/>
      <c r="I39" s="25"/>
      <c r="J39" s="25"/>
      <c r="K39" s="25"/>
      <c r="L39" s="25"/>
      <c r="M39" s="25"/>
      <c r="N39" s="25"/>
      <c r="O39" s="25"/>
      <c r="P39" s="25"/>
      <c r="Q39" s="57">
        <f t="shared" si="1"/>
        <v>0</v>
      </c>
      <c r="R39" s="58">
        <f t="shared" si="0"/>
        <v>10233.58</v>
      </c>
      <c r="S39" s="59">
        <f t="shared" si="2"/>
        <v>10233.58</v>
      </c>
      <c r="U39" s="62"/>
    </row>
    <row r="40" spans="1:56" s="49" customFormat="1" ht="26.25" customHeight="1" thickBot="1">
      <c r="A40" s="57"/>
      <c r="B40" s="57" t="s">
        <v>31</v>
      </c>
      <c r="C40" s="57">
        <f>SUM(C5:C39)</f>
        <v>779434.8800000001</v>
      </c>
      <c r="D40" s="57">
        <f>SUM(D5:D39)</f>
        <v>894611.5500000002</v>
      </c>
      <c r="E40" s="57">
        <f aca="true" t="shared" si="3" ref="E40:P40">SUM(E5:E39)</f>
        <v>620605.4499999998</v>
      </c>
      <c r="F40" s="57">
        <f t="shared" si="3"/>
        <v>62358.11999999999</v>
      </c>
      <c r="G40" s="57">
        <f t="shared" si="3"/>
        <v>94444.14000000001</v>
      </c>
      <c r="H40" s="57">
        <f t="shared" si="3"/>
        <v>5086.929999999999</v>
      </c>
      <c r="I40" s="57">
        <f t="shared" si="3"/>
        <v>163.89</v>
      </c>
      <c r="J40" s="57">
        <f t="shared" si="3"/>
        <v>10774.720000000001</v>
      </c>
      <c r="K40" s="57">
        <f t="shared" si="3"/>
        <v>7780.4400000000005</v>
      </c>
      <c r="L40" s="57">
        <f t="shared" si="3"/>
        <v>163776.36</v>
      </c>
      <c r="M40" s="57">
        <f t="shared" si="3"/>
        <v>9571.03</v>
      </c>
      <c r="N40" s="57">
        <f t="shared" si="3"/>
        <v>68696.36</v>
      </c>
      <c r="O40" s="57">
        <f t="shared" si="3"/>
        <v>2340.4</v>
      </c>
      <c r="P40" s="57">
        <f t="shared" si="3"/>
        <v>28264.32</v>
      </c>
      <c r="Q40" s="57">
        <f>SUM(Q5:Q39)</f>
        <v>296454.45</v>
      </c>
      <c r="R40" s="58">
        <f>SUM(R5:R39)</f>
        <v>2747908.59</v>
      </c>
      <c r="S40" s="59">
        <f>SUM(S5:S39)</f>
        <v>2451454.1400000006</v>
      </c>
      <c r="T40" s="4"/>
      <c r="U40" s="62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2:19" ht="15.75">
      <c r="B41" s="29"/>
      <c r="C41" s="30"/>
      <c r="D41" s="30"/>
      <c r="E41" s="30"/>
      <c r="F41" s="31"/>
      <c r="G41" s="31"/>
      <c r="H41" s="32"/>
      <c r="I41" s="30"/>
      <c r="J41" s="30"/>
      <c r="K41" s="30"/>
      <c r="L41" s="30"/>
      <c r="M41" s="30"/>
      <c r="N41" s="30"/>
      <c r="O41" s="30"/>
      <c r="P41" s="30"/>
      <c r="Q41" s="30"/>
      <c r="S41" s="32"/>
    </row>
    <row r="42" spans="2:19" ht="15.75">
      <c r="B42" s="33"/>
      <c r="C42" s="30"/>
      <c r="D42" s="30"/>
      <c r="E42" s="30"/>
      <c r="F42" s="31"/>
      <c r="G42" s="31"/>
      <c r="H42" s="32"/>
      <c r="I42" s="30"/>
      <c r="J42" s="30"/>
      <c r="K42" s="30"/>
      <c r="L42" s="30"/>
      <c r="M42" s="30"/>
      <c r="N42" s="30"/>
      <c r="O42" s="30"/>
      <c r="P42" s="30"/>
      <c r="Q42" s="30"/>
      <c r="S42" s="32"/>
    </row>
    <row r="43" spans="2:18" ht="15">
      <c r="B43" s="8"/>
      <c r="C43" s="1"/>
      <c r="D43" s="1"/>
      <c r="E43" s="1"/>
      <c r="F43" s="2"/>
      <c r="G43" s="2"/>
      <c r="H43" s="15"/>
      <c r="I43" s="1"/>
      <c r="J43" s="1"/>
      <c r="K43" s="1"/>
      <c r="L43" s="1"/>
      <c r="M43" s="1"/>
      <c r="N43" s="1"/>
      <c r="O43" s="1"/>
      <c r="P43" s="1"/>
      <c r="Q43" s="1"/>
      <c r="R43" s="3"/>
    </row>
    <row r="44" spans="2:17" ht="15">
      <c r="B44" s="8"/>
      <c r="C44" s="1"/>
      <c r="D44" s="1"/>
      <c r="E44" s="1"/>
      <c r="F44" s="2"/>
      <c r="G44" s="2"/>
      <c r="H44" s="16"/>
      <c r="I44" s="1"/>
      <c r="J44" s="1"/>
      <c r="K44" s="1"/>
      <c r="L44" s="1"/>
      <c r="M44" s="1"/>
      <c r="N44" s="1"/>
      <c r="O44" s="1"/>
      <c r="P44" s="1"/>
      <c r="Q44" s="1"/>
    </row>
    <row r="45" spans="2:17" ht="15">
      <c r="B45" s="8"/>
      <c r="C45" s="1"/>
      <c r="D45" s="1"/>
      <c r="E45" s="1"/>
      <c r="F45" s="2"/>
      <c r="G45" s="2"/>
      <c r="H45" s="15"/>
      <c r="I45" s="1"/>
      <c r="J45" s="1"/>
      <c r="K45" s="1"/>
      <c r="L45" s="1"/>
      <c r="M45" s="1"/>
      <c r="N45" s="1"/>
      <c r="O45" s="1"/>
      <c r="P45" s="1"/>
      <c r="Q45" s="1"/>
    </row>
    <row r="46" spans="2:17" ht="15">
      <c r="B46" s="8"/>
      <c r="C46" s="1"/>
      <c r="D46" s="1"/>
      <c r="E46" s="1"/>
      <c r="F46" s="2"/>
      <c r="G46" s="2"/>
      <c r="H46" s="15"/>
      <c r="I46" s="1"/>
      <c r="J46" s="1"/>
      <c r="K46" s="1"/>
      <c r="L46" s="1"/>
      <c r="M46" s="1"/>
      <c r="N46" s="1"/>
      <c r="O46" s="1"/>
      <c r="P46" s="1"/>
      <c r="Q46" s="1"/>
    </row>
    <row r="47" spans="2:19" ht="12.75">
      <c r="B47" s="14"/>
      <c r="S47" s="63"/>
    </row>
    <row r="48" spans="2:12" ht="12.75">
      <c r="B48" s="9"/>
      <c r="F48" s="3"/>
      <c r="G48" s="3"/>
      <c r="L48" s="3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spans="2:19" ht="12.75">
      <c r="B57" s="10"/>
      <c r="C57" s="4"/>
      <c r="D57" s="4"/>
      <c r="E57" s="4"/>
      <c r="F57" s="4"/>
      <c r="G57" s="4"/>
      <c r="H57" s="18"/>
      <c r="I57" s="4"/>
      <c r="J57" s="4"/>
      <c r="K57" s="4"/>
      <c r="L57" s="4"/>
      <c r="M57" s="4"/>
      <c r="N57" s="4"/>
      <c r="O57" s="4"/>
      <c r="P57" s="4"/>
      <c r="Q57" s="4"/>
      <c r="R57" s="4"/>
      <c r="S57" s="13"/>
    </row>
    <row r="58" spans="2:19" ht="12.75">
      <c r="B58" s="10"/>
      <c r="C58" s="4"/>
      <c r="D58" s="4"/>
      <c r="E58" s="4"/>
      <c r="F58" s="4"/>
      <c r="G58" s="4"/>
      <c r="H58" s="18"/>
      <c r="I58" s="4"/>
      <c r="J58" s="4"/>
      <c r="K58" s="4"/>
      <c r="L58" s="4"/>
      <c r="M58" s="4"/>
      <c r="N58" s="4"/>
      <c r="O58" s="4"/>
      <c r="P58" s="4"/>
      <c r="Q58" s="4"/>
      <c r="R58" s="4"/>
      <c r="S58" s="13"/>
    </row>
    <row r="59" spans="2:19" ht="12.75">
      <c r="B59" s="10"/>
      <c r="C59" s="4"/>
      <c r="D59" s="4"/>
      <c r="E59" s="4"/>
      <c r="F59" s="4"/>
      <c r="G59" s="4"/>
      <c r="H59" s="18"/>
      <c r="I59" s="4"/>
      <c r="J59" s="4"/>
      <c r="K59" s="4"/>
      <c r="L59" s="4"/>
      <c r="M59" s="4"/>
      <c r="N59" s="4"/>
      <c r="O59" s="4"/>
      <c r="P59" s="4"/>
      <c r="Q59" s="4"/>
      <c r="R59" s="4"/>
      <c r="S59" s="13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41"/>
  <sheetViews>
    <sheetView workbookViewId="0" topLeftCell="A1">
      <selection activeCell="C6" sqref="C6:C40"/>
    </sheetView>
  </sheetViews>
  <sheetFormatPr defaultColWidth="9.140625" defaultRowHeight="12.75"/>
  <cols>
    <col min="2" max="2" width="33.7109375" style="0" customWidth="1"/>
    <col min="3" max="3" width="15.28125" style="0" customWidth="1"/>
  </cols>
  <sheetData>
    <row r="3" spans="1:7" ht="15">
      <c r="A3" s="81" t="s">
        <v>89</v>
      </c>
      <c r="B3" s="81"/>
      <c r="C3" s="81"/>
      <c r="D3" s="81"/>
      <c r="E3" s="81"/>
      <c r="F3" s="81"/>
      <c r="G3" s="81"/>
    </row>
    <row r="4" spans="1:7" ht="14.25">
      <c r="A4" s="83"/>
      <c r="B4" s="83"/>
      <c r="C4" s="83"/>
      <c r="D4" s="36"/>
      <c r="E4" s="36"/>
      <c r="F4" s="36"/>
      <c r="G4" s="36"/>
    </row>
    <row r="5" spans="1:7" ht="15.75">
      <c r="A5" s="50" t="s">
        <v>0</v>
      </c>
      <c r="B5" s="51" t="s">
        <v>1</v>
      </c>
      <c r="C5" s="50" t="s">
        <v>62</v>
      </c>
      <c r="D5" s="36"/>
      <c r="E5" s="36"/>
      <c r="F5" s="36"/>
      <c r="G5" s="36"/>
    </row>
    <row r="6" spans="1:7" ht="15.75">
      <c r="A6" s="55">
        <v>1</v>
      </c>
      <c r="B6" s="56" t="s">
        <v>6</v>
      </c>
      <c r="C6" s="6"/>
      <c r="D6" s="36"/>
      <c r="E6" s="36"/>
      <c r="F6" s="36"/>
      <c r="G6" s="36"/>
    </row>
    <row r="7" spans="1:7" ht="15.75">
      <c r="A7" s="55">
        <v>2</v>
      </c>
      <c r="B7" s="56" t="s">
        <v>7</v>
      </c>
      <c r="C7" s="6"/>
      <c r="D7" s="36"/>
      <c r="E7" s="36"/>
      <c r="F7" s="36"/>
      <c r="G7" s="36"/>
    </row>
    <row r="8" spans="1:3" ht="15.75">
      <c r="A8" s="55">
        <v>3</v>
      </c>
      <c r="B8" s="56" t="s">
        <v>8</v>
      </c>
      <c r="C8" s="66"/>
    </row>
    <row r="9" spans="1:3" ht="15.75">
      <c r="A9" s="55">
        <v>4</v>
      </c>
      <c r="B9" s="56" t="s">
        <v>9</v>
      </c>
      <c r="C9" s="66"/>
    </row>
    <row r="10" spans="1:3" ht="15.75">
      <c r="A10" s="55">
        <v>5</v>
      </c>
      <c r="B10" s="56" t="s">
        <v>10</v>
      </c>
      <c r="C10" s="66"/>
    </row>
    <row r="11" spans="1:3" ht="15.75">
      <c r="A11" s="55">
        <v>6</v>
      </c>
      <c r="B11" s="56" t="s">
        <v>11</v>
      </c>
      <c r="C11" s="66"/>
    </row>
    <row r="12" spans="1:3" ht="15.75">
      <c r="A12" s="55">
        <v>7</v>
      </c>
      <c r="B12" s="56" t="s">
        <v>59</v>
      </c>
      <c r="C12" s="66"/>
    </row>
    <row r="13" spans="1:3" ht="15.75">
      <c r="A13" s="55">
        <v>8</v>
      </c>
      <c r="B13" s="56" t="s">
        <v>12</v>
      </c>
      <c r="C13" s="66">
        <v>26561.95</v>
      </c>
    </row>
    <row r="14" spans="1:3" ht="15.75">
      <c r="A14" s="55">
        <v>9</v>
      </c>
      <c r="B14" s="56" t="s">
        <v>13</v>
      </c>
      <c r="C14" s="66"/>
    </row>
    <row r="15" spans="1:3" ht="15.75">
      <c r="A15" s="55">
        <v>10</v>
      </c>
      <c r="B15" s="56" t="s">
        <v>14</v>
      </c>
      <c r="C15" s="66"/>
    </row>
    <row r="16" spans="1:3" ht="15.75">
      <c r="A16" s="55">
        <v>11</v>
      </c>
      <c r="B16" s="56" t="s">
        <v>15</v>
      </c>
      <c r="C16" s="66"/>
    </row>
    <row r="17" spans="1:3" ht="15.75">
      <c r="A17" s="55">
        <v>12</v>
      </c>
      <c r="B17" s="56" t="s">
        <v>16</v>
      </c>
      <c r="C17" s="66"/>
    </row>
    <row r="18" spans="1:3" ht="15.75">
      <c r="A18" s="55">
        <v>13</v>
      </c>
      <c r="B18" s="56" t="s">
        <v>17</v>
      </c>
      <c r="C18" s="66"/>
    </row>
    <row r="19" spans="1:3" ht="15.75">
      <c r="A19" s="55">
        <v>14</v>
      </c>
      <c r="B19" s="56" t="s">
        <v>18</v>
      </c>
      <c r="C19" s="66"/>
    </row>
    <row r="20" spans="1:3" ht="15.75">
      <c r="A20" s="55">
        <v>15</v>
      </c>
      <c r="B20" s="56" t="s">
        <v>19</v>
      </c>
      <c r="C20" s="66"/>
    </row>
    <row r="21" spans="1:3" ht="15.75">
      <c r="A21" s="55">
        <v>16</v>
      </c>
      <c r="B21" s="56" t="s">
        <v>20</v>
      </c>
      <c r="C21" s="66"/>
    </row>
    <row r="22" spans="1:3" ht="15.75">
      <c r="A22" s="55">
        <v>17</v>
      </c>
      <c r="B22" s="56" t="s">
        <v>21</v>
      </c>
      <c r="C22" s="66"/>
    </row>
    <row r="23" spans="1:3" ht="15.75">
      <c r="A23" s="55">
        <v>18</v>
      </c>
      <c r="B23" s="56" t="s">
        <v>22</v>
      </c>
      <c r="C23" s="66"/>
    </row>
    <row r="24" spans="1:3" ht="15.75">
      <c r="A24" s="55">
        <v>19</v>
      </c>
      <c r="B24" s="56" t="s">
        <v>23</v>
      </c>
      <c r="C24" s="66"/>
    </row>
    <row r="25" spans="1:3" ht="15.75">
      <c r="A25" s="55">
        <v>20</v>
      </c>
      <c r="B25" s="56" t="s">
        <v>24</v>
      </c>
      <c r="C25" s="66"/>
    </row>
    <row r="26" spans="1:3" ht="15.75">
      <c r="A26" s="55">
        <v>21</v>
      </c>
      <c r="B26" s="56" t="s">
        <v>25</v>
      </c>
      <c r="C26" s="66"/>
    </row>
    <row r="27" spans="1:3" ht="15.75">
      <c r="A27" s="55">
        <v>22</v>
      </c>
      <c r="B27" s="56" t="s">
        <v>26</v>
      </c>
      <c r="C27" s="66"/>
    </row>
    <row r="28" spans="1:3" ht="15.75">
      <c r="A28" s="55">
        <v>23</v>
      </c>
      <c r="B28" s="56" t="s">
        <v>27</v>
      </c>
      <c r="C28" s="66"/>
    </row>
    <row r="29" spans="1:3" ht="15.75">
      <c r="A29" s="55">
        <v>24</v>
      </c>
      <c r="B29" s="56" t="s">
        <v>28</v>
      </c>
      <c r="C29" s="66"/>
    </row>
    <row r="30" spans="1:3" ht="15.75">
      <c r="A30" s="55">
        <v>25</v>
      </c>
      <c r="B30" s="56" t="s">
        <v>29</v>
      </c>
      <c r="C30" s="66">
        <v>663.78</v>
      </c>
    </row>
    <row r="31" spans="1:3" ht="15.75">
      <c r="A31" s="55">
        <v>26</v>
      </c>
      <c r="B31" s="56" t="s">
        <v>30</v>
      </c>
      <c r="C31" s="66"/>
    </row>
    <row r="32" spans="1:3" ht="15.75">
      <c r="A32" s="55">
        <v>27</v>
      </c>
      <c r="B32" s="56" t="s">
        <v>40</v>
      </c>
      <c r="C32" s="66"/>
    </row>
    <row r="33" spans="1:3" ht="15.75">
      <c r="A33" s="55">
        <v>28</v>
      </c>
      <c r="B33" s="56" t="s">
        <v>41</v>
      </c>
      <c r="C33" s="66"/>
    </row>
    <row r="34" spans="1:3" ht="15.75">
      <c r="A34" s="55">
        <v>29</v>
      </c>
      <c r="B34" s="56" t="s">
        <v>42</v>
      </c>
      <c r="C34" s="66"/>
    </row>
    <row r="35" spans="1:3" ht="15.75">
      <c r="A35" s="55">
        <v>30</v>
      </c>
      <c r="B35" s="56" t="s">
        <v>44</v>
      </c>
      <c r="C35" s="66"/>
    </row>
    <row r="36" spans="1:3" ht="15.75">
      <c r="A36" s="55">
        <v>31</v>
      </c>
      <c r="B36" s="56" t="s">
        <v>45</v>
      </c>
      <c r="C36" s="66"/>
    </row>
    <row r="37" spans="1:3" ht="15.75">
      <c r="A37" s="55">
        <v>32</v>
      </c>
      <c r="B37" s="56" t="s">
        <v>47</v>
      </c>
      <c r="C37" s="66"/>
    </row>
    <row r="38" spans="1:3" ht="15.75">
      <c r="A38" s="55">
        <v>33</v>
      </c>
      <c r="B38" s="56" t="s">
        <v>60</v>
      </c>
      <c r="C38" s="66"/>
    </row>
    <row r="39" spans="1:3" ht="15.75">
      <c r="A39" s="55">
        <v>34</v>
      </c>
      <c r="B39" s="56" t="s">
        <v>61</v>
      </c>
      <c r="C39" s="66"/>
    </row>
    <row r="40" spans="1:3" ht="15.75">
      <c r="A40" s="55">
        <v>35</v>
      </c>
      <c r="B40" s="56" t="s">
        <v>71</v>
      </c>
      <c r="C40" s="66"/>
    </row>
    <row r="41" spans="1:3" ht="15.75">
      <c r="A41" s="57"/>
      <c r="B41" s="57" t="s">
        <v>31</v>
      </c>
      <c r="C41" s="67">
        <f>SUM(C6:C40)</f>
        <v>27225.73</v>
      </c>
    </row>
  </sheetData>
  <mergeCells count="2">
    <mergeCell ref="A3:G3"/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H41"/>
  <sheetViews>
    <sheetView workbookViewId="0" topLeftCell="A1">
      <selection activeCell="C6" sqref="C6:C40"/>
    </sheetView>
  </sheetViews>
  <sheetFormatPr defaultColWidth="9.140625" defaultRowHeight="12.75"/>
  <cols>
    <col min="2" max="2" width="30.421875" style="0" customWidth="1"/>
    <col min="3" max="3" width="12.57421875" style="0" customWidth="1"/>
    <col min="8" max="8" width="12.7109375" style="0" customWidth="1"/>
  </cols>
  <sheetData>
    <row r="3" spans="1:8" ht="15">
      <c r="A3" s="81" t="s">
        <v>90</v>
      </c>
      <c r="B3" s="81"/>
      <c r="C3" s="81"/>
      <c r="D3" s="81"/>
      <c r="E3" s="81"/>
      <c r="F3" s="81"/>
      <c r="G3" s="81"/>
      <c r="H3" s="81"/>
    </row>
    <row r="4" spans="1:8" ht="14.25">
      <c r="A4" s="36"/>
      <c r="B4" s="36"/>
      <c r="C4" s="38"/>
      <c r="D4" s="1"/>
      <c r="E4" s="1"/>
      <c r="F4" s="1"/>
      <c r="G4" s="36"/>
      <c r="H4" s="36"/>
    </row>
    <row r="5" spans="1:3" ht="15.75">
      <c r="A5" s="50" t="s">
        <v>0</v>
      </c>
      <c r="B5" s="51" t="s">
        <v>1</v>
      </c>
      <c r="C5" s="51" t="s">
        <v>70</v>
      </c>
    </row>
    <row r="6" spans="1:3" ht="15.75">
      <c r="A6" s="55">
        <v>1</v>
      </c>
      <c r="B6" s="56" t="s">
        <v>6</v>
      </c>
      <c r="C6" s="66"/>
    </row>
    <row r="7" spans="1:3" ht="15.75">
      <c r="A7" s="55">
        <v>2</v>
      </c>
      <c r="B7" s="56" t="s">
        <v>7</v>
      </c>
      <c r="C7" s="66"/>
    </row>
    <row r="8" spans="1:3" ht="15.75">
      <c r="A8" s="55">
        <v>3</v>
      </c>
      <c r="B8" s="56" t="s">
        <v>8</v>
      </c>
      <c r="C8" s="66"/>
    </row>
    <row r="9" spans="1:3" ht="15.75">
      <c r="A9" s="55">
        <v>4</v>
      </c>
      <c r="B9" s="56" t="s">
        <v>9</v>
      </c>
      <c r="C9" s="66"/>
    </row>
    <row r="10" spans="1:3" ht="15.75">
      <c r="A10" s="55">
        <v>5</v>
      </c>
      <c r="B10" s="56" t="s">
        <v>10</v>
      </c>
      <c r="C10" s="66"/>
    </row>
    <row r="11" spans="1:3" ht="15.75">
      <c r="A11" s="55">
        <v>6</v>
      </c>
      <c r="B11" s="56" t="s">
        <v>11</v>
      </c>
      <c r="C11" s="66">
        <v>807.6</v>
      </c>
    </row>
    <row r="12" spans="1:3" ht="15.75">
      <c r="A12" s="55">
        <v>7</v>
      </c>
      <c r="B12" s="56" t="s">
        <v>59</v>
      </c>
      <c r="C12" s="66"/>
    </row>
    <row r="13" spans="1:3" ht="15.75">
      <c r="A13" s="55">
        <v>8</v>
      </c>
      <c r="B13" s="56" t="s">
        <v>12</v>
      </c>
      <c r="C13" s="66"/>
    </row>
    <row r="14" spans="1:3" ht="15.75">
      <c r="A14" s="55">
        <v>9</v>
      </c>
      <c r="B14" s="56" t="s">
        <v>13</v>
      </c>
      <c r="C14" s="66"/>
    </row>
    <row r="15" spans="1:3" ht="15.75">
      <c r="A15" s="55">
        <v>10</v>
      </c>
      <c r="B15" s="56" t="s">
        <v>14</v>
      </c>
      <c r="C15" s="66"/>
    </row>
    <row r="16" spans="1:3" ht="15.75">
      <c r="A16" s="55">
        <v>11</v>
      </c>
      <c r="B16" s="56" t="s">
        <v>15</v>
      </c>
      <c r="C16" s="66"/>
    </row>
    <row r="17" spans="1:3" ht="15.75">
      <c r="A17" s="55">
        <v>12</v>
      </c>
      <c r="B17" s="56" t="s">
        <v>16</v>
      </c>
      <c r="C17" s="66"/>
    </row>
    <row r="18" spans="1:3" ht="15.75">
      <c r="A18" s="55">
        <v>13</v>
      </c>
      <c r="B18" s="56" t="s">
        <v>17</v>
      </c>
      <c r="C18" s="66">
        <v>440.5</v>
      </c>
    </row>
    <row r="19" spans="1:3" ht="15.75">
      <c r="A19" s="55">
        <v>14</v>
      </c>
      <c r="B19" s="56" t="s">
        <v>18</v>
      </c>
      <c r="C19" s="66"/>
    </row>
    <row r="20" spans="1:3" ht="15.75">
      <c r="A20" s="55">
        <v>15</v>
      </c>
      <c r="B20" s="56" t="s">
        <v>19</v>
      </c>
      <c r="C20" s="66"/>
    </row>
    <row r="21" spans="1:3" ht="15.75">
      <c r="A21" s="55">
        <v>16</v>
      </c>
      <c r="B21" s="56" t="s">
        <v>20</v>
      </c>
      <c r="C21" s="66"/>
    </row>
    <row r="22" spans="1:3" ht="15.75">
      <c r="A22" s="55">
        <v>17</v>
      </c>
      <c r="B22" s="56" t="s">
        <v>21</v>
      </c>
      <c r="C22" s="66"/>
    </row>
    <row r="23" spans="1:3" ht="15.75">
      <c r="A23" s="55">
        <v>18</v>
      </c>
      <c r="B23" s="56" t="s">
        <v>22</v>
      </c>
      <c r="C23" s="66"/>
    </row>
    <row r="24" spans="1:3" ht="15.75">
      <c r="A24" s="55">
        <v>19</v>
      </c>
      <c r="B24" s="56" t="s">
        <v>23</v>
      </c>
      <c r="C24" s="66"/>
    </row>
    <row r="25" spans="1:3" ht="15.75">
      <c r="A25" s="55">
        <v>20</v>
      </c>
      <c r="B25" s="56" t="s">
        <v>24</v>
      </c>
      <c r="C25" s="66"/>
    </row>
    <row r="26" spans="1:3" ht="15.75">
      <c r="A26" s="55">
        <v>21</v>
      </c>
      <c r="B26" s="56" t="s">
        <v>25</v>
      </c>
      <c r="C26" s="66">
        <v>440.5</v>
      </c>
    </row>
    <row r="27" spans="1:3" ht="15.75">
      <c r="A27" s="55">
        <v>22</v>
      </c>
      <c r="B27" s="56" t="s">
        <v>26</v>
      </c>
      <c r="C27" s="66"/>
    </row>
    <row r="28" spans="1:3" ht="15.75">
      <c r="A28" s="55">
        <v>23</v>
      </c>
      <c r="B28" s="56" t="s">
        <v>27</v>
      </c>
      <c r="C28" s="66"/>
    </row>
    <row r="29" spans="1:3" ht="15.75">
      <c r="A29" s="55">
        <v>24</v>
      </c>
      <c r="B29" s="56" t="s">
        <v>28</v>
      </c>
      <c r="C29" s="66"/>
    </row>
    <row r="30" spans="1:3" ht="15.75">
      <c r="A30" s="55">
        <v>25</v>
      </c>
      <c r="B30" s="56" t="s">
        <v>29</v>
      </c>
      <c r="C30" s="66"/>
    </row>
    <row r="31" spans="1:3" ht="15.75">
      <c r="A31" s="55">
        <v>26</v>
      </c>
      <c r="B31" s="56" t="s">
        <v>30</v>
      </c>
      <c r="C31" s="66"/>
    </row>
    <row r="32" spans="1:3" ht="15.75">
      <c r="A32" s="55">
        <v>27</v>
      </c>
      <c r="B32" s="56" t="s">
        <v>40</v>
      </c>
      <c r="C32" s="66"/>
    </row>
    <row r="33" spans="1:3" ht="15.75">
      <c r="A33" s="55">
        <v>28</v>
      </c>
      <c r="B33" s="56" t="s">
        <v>41</v>
      </c>
      <c r="C33" s="66"/>
    </row>
    <row r="34" spans="1:3" ht="15.75">
      <c r="A34" s="55">
        <v>29</v>
      </c>
      <c r="B34" s="56" t="s">
        <v>42</v>
      </c>
      <c r="C34" s="66"/>
    </row>
    <row r="35" spans="1:3" ht="15.75">
      <c r="A35" s="55">
        <v>30</v>
      </c>
      <c r="B35" s="56" t="s">
        <v>44</v>
      </c>
      <c r="C35" s="66"/>
    </row>
    <row r="36" spans="1:3" ht="15.75">
      <c r="A36" s="55">
        <v>31</v>
      </c>
      <c r="B36" s="56" t="s">
        <v>45</v>
      </c>
      <c r="C36" s="66"/>
    </row>
    <row r="37" spans="1:3" ht="15.75">
      <c r="A37" s="55">
        <v>32</v>
      </c>
      <c r="B37" s="56" t="s">
        <v>47</v>
      </c>
      <c r="C37" s="66"/>
    </row>
    <row r="38" spans="1:3" ht="15.75">
      <c r="A38" s="55">
        <v>33</v>
      </c>
      <c r="B38" s="56" t="s">
        <v>60</v>
      </c>
      <c r="C38" s="66"/>
    </row>
    <row r="39" spans="1:3" ht="15.75">
      <c r="A39" s="55">
        <v>34</v>
      </c>
      <c r="B39" s="56" t="s">
        <v>61</v>
      </c>
      <c r="C39" s="66"/>
    </row>
    <row r="40" spans="1:3" ht="15.75">
      <c r="A40" s="55">
        <v>35</v>
      </c>
      <c r="B40" s="56" t="s">
        <v>71</v>
      </c>
      <c r="C40" s="66"/>
    </row>
    <row r="41" spans="1:3" ht="15.75">
      <c r="A41" s="57"/>
      <c r="B41" s="57" t="s">
        <v>31</v>
      </c>
      <c r="C41" s="67">
        <f>SUM(C6:C40)</f>
        <v>1688.6</v>
      </c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41"/>
  <sheetViews>
    <sheetView workbookViewId="0" topLeftCell="A4">
      <selection activeCell="I6" sqref="I6:I40"/>
    </sheetView>
  </sheetViews>
  <sheetFormatPr defaultColWidth="9.140625" defaultRowHeight="12.75"/>
  <cols>
    <col min="1" max="1" width="9.57421875" style="0" bestFit="1" customWidth="1"/>
    <col min="2" max="2" width="33.28125" style="0" customWidth="1"/>
    <col min="3" max="3" width="15.140625" style="0" customWidth="1"/>
    <col min="4" max="4" width="12.57421875" style="0" bestFit="1" customWidth="1"/>
    <col min="5" max="5" width="10.8515625" style="0" customWidth="1"/>
    <col min="6" max="7" width="11.57421875" style="0" customWidth="1"/>
    <col min="8" max="8" width="13.7109375" style="0" customWidth="1"/>
    <col min="9" max="9" width="15.00390625" style="0" customWidth="1"/>
  </cols>
  <sheetData>
    <row r="3" spans="1:12" ht="15">
      <c r="A3" s="61" t="s">
        <v>91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4.25">
      <c r="A4" s="36"/>
      <c r="B4" s="36"/>
      <c r="C4" s="38"/>
      <c r="D4" s="1"/>
      <c r="E4" s="1"/>
      <c r="F4" s="1"/>
      <c r="G4" s="1"/>
      <c r="H4" s="1"/>
      <c r="I4" s="1"/>
      <c r="J4" s="1"/>
      <c r="K4" s="36"/>
      <c r="L4" s="36"/>
    </row>
    <row r="5" spans="1:12" ht="30">
      <c r="A5" s="70" t="s">
        <v>0</v>
      </c>
      <c r="B5" s="70" t="s">
        <v>1</v>
      </c>
      <c r="C5" s="70" t="s">
        <v>72</v>
      </c>
      <c r="D5" s="70" t="s">
        <v>73</v>
      </c>
      <c r="E5" s="70" t="s">
        <v>76</v>
      </c>
      <c r="F5" s="70" t="s">
        <v>77</v>
      </c>
      <c r="G5" s="70" t="s">
        <v>79</v>
      </c>
      <c r="H5" s="70" t="s">
        <v>74</v>
      </c>
      <c r="I5" s="71" t="s">
        <v>75</v>
      </c>
      <c r="J5" s="36"/>
      <c r="K5" s="36"/>
      <c r="L5" s="36"/>
    </row>
    <row r="6" spans="1:12" ht="15.75">
      <c r="A6" s="55">
        <v>1</v>
      </c>
      <c r="B6" s="56" t="s">
        <v>6</v>
      </c>
      <c r="C6" s="6">
        <v>1000.56</v>
      </c>
      <c r="D6" s="6">
        <v>2586.32</v>
      </c>
      <c r="E6" s="6">
        <v>918.76</v>
      </c>
      <c r="F6" s="6"/>
      <c r="G6" s="6"/>
      <c r="H6" s="6">
        <v>1635.59</v>
      </c>
      <c r="I6" s="68">
        <f>C6+D6+E6+F6+G6+H6</f>
        <v>6141.2300000000005</v>
      </c>
      <c r="J6" s="36"/>
      <c r="K6" s="36"/>
      <c r="L6" s="36"/>
    </row>
    <row r="7" spans="1:9" ht="15.75">
      <c r="A7" s="55">
        <v>2</v>
      </c>
      <c r="B7" s="56" t="s">
        <v>7</v>
      </c>
      <c r="C7" s="66">
        <v>333.52</v>
      </c>
      <c r="D7" s="66"/>
      <c r="E7" s="66"/>
      <c r="F7" s="66"/>
      <c r="G7" s="66"/>
      <c r="H7" s="66"/>
      <c r="I7" s="68">
        <f aca="true" t="shared" si="0" ref="I7:I41">C7+D7+E7+F7+G7+H7</f>
        <v>333.52</v>
      </c>
    </row>
    <row r="8" spans="1:9" ht="15.75">
      <c r="A8" s="55">
        <v>3</v>
      </c>
      <c r="B8" s="56" t="s">
        <v>8</v>
      </c>
      <c r="C8" s="66"/>
      <c r="D8" s="66">
        <f>1355.88+709.3</f>
        <v>2065.1800000000003</v>
      </c>
      <c r="E8" s="66"/>
      <c r="F8" s="66"/>
      <c r="G8" s="66"/>
      <c r="H8" s="66">
        <f>150.73+160.37</f>
        <v>311.1</v>
      </c>
      <c r="I8" s="68">
        <f t="shared" si="0"/>
        <v>2376.28</v>
      </c>
    </row>
    <row r="9" spans="1:9" ht="15.75">
      <c r="A9" s="55">
        <v>4</v>
      </c>
      <c r="B9" s="56" t="s">
        <v>9</v>
      </c>
      <c r="C9" s="66">
        <v>333.52</v>
      </c>
      <c r="D9" s="66"/>
      <c r="E9" s="66"/>
      <c r="F9" s="66"/>
      <c r="G9" s="66"/>
      <c r="H9" s="66">
        <v>171.82</v>
      </c>
      <c r="I9" s="68">
        <f t="shared" si="0"/>
        <v>505.34</v>
      </c>
    </row>
    <row r="10" spans="1:9" ht="15.75">
      <c r="A10" s="55">
        <v>5</v>
      </c>
      <c r="B10" s="56" t="s">
        <v>10</v>
      </c>
      <c r="C10" s="66"/>
      <c r="D10" s="66">
        <f>2711.76</f>
        <v>2711.76</v>
      </c>
      <c r="E10" s="66"/>
      <c r="F10" s="66"/>
      <c r="G10" s="66"/>
      <c r="H10" s="66">
        <f>453.81+230.91</f>
        <v>684.72</v>
      </c>
      <c r="I10" s="68">
        <f t="shared" si="0"/>
        <v>3396.4800000000005</v>
      </c>
    </row>
    <row r="11" spans="1:9" ht="15.75">
      <c r="A11" s="55">
        <v>6</v>
      </c>
      <c r="B11" s="56" t="s">
        <v>11</v>
      </c>
      <c r="C11" s="66">
        <f>333.52+333.52</f>
        <v>667.04</v>
      </c>
      <c r="D11" s="66">
        <f>2938.52</f>
        <v>2938.52</v>
      </c>
      <c r="E11" s="66"/>
      <c r="F11" s="66"/>
      <c r="G11" s="66"/>
      <c r="H11" s="66">
        <f>763.51+513.53+150.73+521.9+452.41</f>
        <v>2402.08</v>
      </c>
      <c r="I11" s="68">
        <f t="shared" si="0"/>
        <v>6007.639999999999</v>
      </c>
    </row>
    <row r="12" spans="1:9" ht="15.75">
      <c r="A12" s="55">
        <v>7</v>
      </c>
      <c r="B12" s="56" t="s">
        <v>59</v>
      </c>
      <c r="C12" s="66">
        <f>333.52</f>
        <v>333.52</v>
      </c>
      <c r="D12" s="66">
        <v>646.58</v>
      </c>
      <c r="E12" s="66">
        <v>492.19</v>
      </c>
      <c r="F12" s="66"/>
      <c r="G12" s="66"/>
      <c r="H12" s="66">
        <f>664.38+160.37+249.14+292.03+362.8+171.82</f>
        <v>1900.5399999999997</v>
      </c>
      <c r="I12" s="68">
        <f t="shared" si="0"/>
        <v>3372.83</v>
      </c>
    </row>
    <row r="13" spans="1:9" ht="15.75">
      <c r="A13" s="55">
        <v>8</v>
      </c>
      <c r="B13" s="56" t="s">
        <v>12</v>
      </c>
      <c r="C13" s="66"/>
      <c r="D13" s="66">
        <v>646.58</v>
      </c>
      <c r="E13" s="66">
        <v>1870.33</v>
      </c>
      <c r="F13" s="66"/>
      <c r="G13" s="66"/>
      <c r="H13" s="66">
        <v>904.38</v>
      </c>
      <c r="I13" s="68">
        <f t="shared" si="0"/>
        <v>3421.29</v>
      </c>
    </row>
    <row r="14" spans="1:9" ht="15.75">
      <c r="A14" s="55">
        <v>9</v>
      </c>
      <c r="B14" s="56" t="s">
        <v>13</v>
      </c>
      <c r="C14" s="66">
        <f>326.78+667.04</f>
        <v>993.8199999999999</v>
      </c>
      <c r="D14" s="66">
        <f>709.3+709.3</f>
        <v>1418.6</v>
      </c>
      <c r="E14" s="66"/>
      <c r="F14" s="66"/>
      <c r="G14" s="66"/>
      <c r="H14" s="66">
        <f>400.92+481.1</f>
        <v>882.02</v>
      </c>
      <c r="I14" s="68">
        <f t="shared" si="0"/>
        <v>3294.44</v>
      </c>
    </row>
    <row r="15" spans="1:9" ht="15.75">
      <c r="A15" s="55">
        <v>10</v>
      </c>
      <c r="B15" s="56" t="s">
        <v>14</v>
      </c>
      <c r="C15" s="66">
        <f>333.52+333.52+333.52</f>
        <v>1000.56</v>
      </c>
      <c r="D15" s="66">
        <v>709.3</v>
      </c>
      <c r="E15" s="66"/>
      <c r="F15" s="66"/>
      <c r="G15" s="66"/>
      <c r="H15" s="66">
        <f>2533.51+85.91+1791.64</f>
        <v>4411.06</v>
      </c>
      <c r="I15" s="68">
        <f t="shared" si="0"/>
        <v>6120.92</v>
      </c>
    </row>
    <row r="16" spans="1:9" ht="15.75">
      <c r="A16" s="55">
        <v>11</v>
      </c>
      <c r="B16" s="56" t="s">
        <v>15</v>
      </c>
      <c r="C16" s="66">
        <v>326.78</v>
      </c>
      <c r="D16" s="66"/>
      <c r="E16" s="66"/>
      <c r="F16" s="66"/>
      <c r="G16" s="66"/>
      <c r="H16" s="66">
        <v>1134.02</v>
      </c>
      <c r="I16" s="68">
        <f t="shared" si="0"/>
        <v>1460.8</v>
      </c>
    </row>
    <row r="17" spans="1:9" ht="15.75">
      <c r="A17" s="55">
        <v>12</v>
      </c>
      <c r="B17" s="56" t="s">
        <v>16</v>
      </c>
      <c r="C17" s="66"/>
      <c r="D17" s="66"/>
      <c r="E17" s="66"/>
      <c r="F17" s="66"/>
      <c r="G17" s="66"/>
      <c r="H17" s="66">
        <v>602.91</v>
      </c>
      <c r="I17" s="68">
        <f t="shared" si="0"/>
        <v>602.91</v>
      </c>
    </row>
    <row r="18" spans="1:9" ht="15.75">
      <c r="A18" s="55">
        <v>13</v>
      </c>
      <c r="B18" s="56" t="s">
        <v>17</v>
      </c>
      <c r="C18" s="66">
        <v>1327.34</v>
      </c>
      <c r="D18" s="66">
        <v>2115.84</v>
      </c>
      <c r="E18" s="66">
        <v>951.57</v>
      </c>
      <c r="F18" s="66"/>
      <c r="G18" s="66"/>
      <c r="H18" s="66">
        <v>1727.5</v>
      </c>
      <c r="I18" s="68">
        <f t="shared" si="0"/>
        <v>6122.25</v>
      </c>
    </row>
    <row r="19" spans="1:9" ht="15.75">
      <c r="A19" s="55">
        <v>14</v>
      </c>
      <c r="B19" s="56" t="s">
        <v>18</v>
      </c>
      <c r="C19" s="66"/>
      <c r="D19" s="66"/>
      <c r="E19" s="66"/>
      <c r="F19" s="66"/>
      <c r="G19" s="66"/>
      <c r="H19" s="66">
        <v>160.37</v>
      </c>
      <c r="I19" s="68">
        <f t="shared" si="0"/>
        <v>160.37</v>
      </c>
    </row>
    <row r="20" spans="1:9" ht="15.75">
      <c r="A20" s="55">
        <v>15</v>
      </c>
      <c r="B20" s="56" t="s">
        <v>19</v>
      </c>
      <c r="C20" s="66"/>
      <c r="D20" s="66"/>
      <c r="E20" s="66"/>
      <c r="F20" s="66"/>
      <c r="G20" s="66"/>
      <c r="H20" s="66"/>
      <c r="I20" s="68">
        <f t="shared" si="0"/>
        <v>0</v>
      </c>
    </row>
    <row r="21" spans="1:9" ht="15.75">
      <c r="A21" s="55">
        <v>16</v>
      </c>
      <c r="B21" s="56" t="s">
        <v>20</v>
      </c>
      <c r="C21" s="66">
        <v>333.52</v>
      </c>
      <c r="D21" s="66"/>
      <c r="E21" s="66"/>
      <c r="F21" s="66"/>
      <c r="G21" s="66"/>
      <c r="H21" s="66"/>
      <c r="I21" s="68">
        <f t="shared" si="0"/>
        <v>333.52</v>
      </c>
    </row>
    <row r="22" spans="1:9" ht="15.75">
      <c r="A22" s="55">
        <v>17</v>
      </c>
      <c r="B22" s="56" t="s">
        <v>21</v>
      </c>
      <c r="C22" s="66">
        <v>667.04</v>
      </c>
      <c r="D22" s="66"/>
      <c r="E22" s="66"/>
      <c r="F22" s="66"/>
      <c r="G22" s="66"/>
      <c r="H22" s="66">
        <v>541.6</v>
      </c>
      <c r="I22" s="68">
        <f t="shared" si="0"/>
        <v>1208.6399999999999</v>
      </c>
    </row>
    <row r="23" spans="1:9" ht="15.75">
      <c r="A23" s="55">
        <v>18</v>
      </c>
      <c r="B23" s="56" t="s">
        <v>22</v>
      </c>
      <c r="C23" s="66"/>
      <c r="D23" s="66">
        <v>1026.55</v>
      </c>
      <c r="E23" s="66">
        <v>492.19</v>
      </c>
      <c r="F23" s="66"/>
      <c r="G23" s="66">
        <v>2004.13</v>
      </c>
      <c r="H23" s="66">
        <f>544.04+150.72+1284.7+141.31</f>
        <v>2120.77</v>
      </c>
      <c r="I23" s="68">
        <f t="shared" si="0"/>
        <v>5643.639999999999</v>
      </c>
    </row>
    <row r="24" spans="1:9" ht="15.75">
      <c r="A24" s="55">
        <v>19</v>
      </c>
      <c r="B24" s="56" t="s">
        <v>23</v>
      </c>
      <c r="C24" s="66"/>
      <c r="D24" s="66"/>
      <c r="E24" s="66"/>
      <c r="F24" s="66"/>
      <c r="G24" s="66"/>
      <c r="H24" s="66"/>
      <c r="I24" s="68">
        <f t="shared" si="0"/>
        <v>0</v>
      </c>
    </row>
    <row r="25" spans="1:9" ht="15.75">
      <c r="A25" s="55">
        <v>20</v>
      </c>
      <c r="B25" s="56" t="s">
        <v>24</v>
      </c>
      <c r="C25" s="66"/>
      <c r="D25" s="66"/>
      <c r="E25" s="66"/>
      <c r="F25" s="66"/>
      <c r="G25" s="66"/>
      <c r="H25" s="66">
        <f>795.83+171.82</f>
        <v>967.6500000000001</v>
      </c>
      <c r="I25" s="68">
        <f t="shared" si="0"/>
        <v>967.6500000000001</v>
      </c>
    </row>
    <row r="26" spans="1:9" ht="15.75">
      <c r="A26" s="55">
        <v>21</v>
      </c>
      <c r="B26" s="56" t="s">
        <v>25</v>
      </c>
      <c r="C26" s="66">
        <v>333.51</v>
      </c>
      <c r="D26" s="66"/>
      <c r="E26" s="66"/>
      <c r="F26" s="66"/>
      <c r="G26" s="66"/>
      <c r="H26" s="66">
        <f>311.08+301.66+1330.56+150.72</f>
        <v>2094.02</v>
      </c>
      <c r="I26" s="68">
        <f t="shared" si="0"/>
        <v>2427.5299999999997</v>
      </c>
    </row>
    <row r="27" spans="1:9" ht="15.75">
      <c r="A27" s="55">
        <v>22</v>
      </c>
      <c r="B27" s="56" t="s">
        <v>26</v>
      </c>
      <c r="C27" s="66"/>
      <c r="D27" s="66">
        <v>646.57</v>
      </c>
      <c r="E27" s="66"/>
      <c r="F27" s="66"/>
      <c r="G27" s="66"/>
      <c r="H27" s="66">
        <v>565.21</v>
      </c>
      <c r="I27" s="68">
        <f t="shared" si="0"/>
        <v>1211.7800000000002</v>
      </c>
    </row>
    <row r="28" spans="1:9" ht="15.75">
      <c r="A28" s="55">
        <v>23</v>
      </c>
      <c r="B28" s="56" t="s">
        <v>27</v>
      </c>
      <c r="C28" s="66">
        <v>326.78</v>
      </c>
      <c r="D28" s="66"/>
      <c r="E28" s="66"/>
      <c r="F28" s="66"/>
      <c r="G28" s="66"/>
      <c r="H28" s="66">
        <v>664.38</v>
      </c>
      <c r="I28" s="68">
        <f t="shared" si="0"/>
        <v>991.16</v>
      </c>
    </row>
    <row r="29" spans="1:9" ht="15.75">
      <c r="A29" s="55">
        <v>24</v>
      </c>
      <c r="B29" s="56" t="s">
        <v>28</v>
      </c>
      <c r="C29" s="66"/>
      <c r="D29" s="66"/>
      <c r="E29" s="66"/>
      <c r="F29" s="66"/>
      <c r="G29" s="66"/>
      <c r="H29" s="66">
        <f>427.69+301.45</f>
        <v>729.14</v>
      </c>
      <c r="I29" s="68">
        <f t="shared" si="0"/>
        <v>729.14</v>
      </c>
    </row>
    <row r="30" spans="1:9" ht="15.75">
      <c r="A30" s="55">
        <v>25</v>
      </c>
      <c r="B30" s="56" t="s">
        <v>29</v>
      </c>
      <c r="C30" s="66">
        <f>333.52+333.52+333.52</f>
        <v>1000.56</v>
      </c>
      <c r="D30" s="66">
        <v>692.76</v>
      </c>
      <c r="E30" s="66"/>
      <c r="F30" s="66">
        <v>9265.86</v>
      </c>
      <c r="G30" s="66"/>
      <c r="H30" s="66">
        <f>1660.06+866.9+481.11</f>
        <v>3008.07</v>
      </c>
      <c r="I30" s="68">
        <f t="shared" si="0"/>
        <v>13967.25</v>
      </c>
    </row>
    <row r="31" spans="1:9" ht="15.75">
      <c r="A31" s="55">
        <v>26</v>
      </c>
      <c r="B31" s="56" t="s">
        <v>30</v>
      </c>
      <c r="C31" s="66">
        <v>333.52</v>
      </c>
      <c r="D31" s="66">
        <v>1293.16</v>
      </c>
      <c r="E31" s="66"/>
      <c r="F31" s="66"/>
      <c r="G31" s="66"/>
      <c r="H31" s="66">
        <f>2230.04+160.37</f>
        <v>2390.41</v>
      </c>
      <c r="I31" s="68">
        <f t="shared" si="0"/>
        <v>4017.09</v>
      </c>
    </row>
    <row r="32" spans="1:9" ht="15.75">
      <c r="A32" s="55">
        <v>27</v>
      </c>
      <c r="B32" s="56" t="s">
        <v>40</v>
      </c>
      <c r="C32" s="66"/>
      <c r="D32" s="66"/>
      <c r="E32" s="66"/>
      <c r="F32" s="66"/>
      <c r="G32" s="66"/>
      <c r="H32" s="66"/>
      <c r="I32" s="68">
        <f t="shared" si="0"/>
        <v>0</v>
      </c>
    </row>
    <row r="33" spans="1:9" ht="15.75">
      <c r="A33" s="55">
        <v>28</v>
      </c>
      <c r="B33" s="56" t="s">
        <v>41</v>
      </c>
      <c r="C33" s="66">
        <v>333.52</v>
      </c>
      <c r="D33" s="66">
        <v>709.3</v>
      </c>
      <c r="E33" s="66"/>
      <c r="F33" s="66"/>
      <c r="G33" s="66"/>
      <c r="H33" s="66">
        <f>343.64+160.37</f>
        <v>504.01</v>
      </c>
      <c r="I33" s="68">
        <f t="shared" si="0"/>
        <v>1546.83</v>
      </c>
    </row>
    <row r="34" spans="1:9" ht="15.75">
      <c r="A34" s="55">
        <v>29</v>
      </c>
      <c r="B34" s="56" t="s">
        <v>42</v>
      </c>
      <c r="C34" s="66">
        <v>333.52</v>
      </c>
      <c r="D34" s="66"/>
      <c r="E34" s="66"/>
      <c r="F34" s="66"/>
      <c r="G34" s="66"/>
      <c r="H34" s="66">
        <v>962.17</v>
      </c>
      <c r="I34" s="68">
        <f t="shared" si="0"/>
        <v>1295.69</v>
      </c>
    </row>
    <row r="35" spans="1:9" ht="15.75">
      <c r="A35" s="55">
        <v>30</v>
      </c>
      <c r="B35" s="56" t="s">
        <v>44</v>
      </c>
      <c r="C35" s="66">
        <v>333.52</v>
      </c>
      <c r="D35" s="66"/>
      <c r="E35" s="66"/>
      <c r="F35" s="66"/>
      <c r="G35" s="66"/>
      <c r="H35" s="66">
        <v>150.73</v>
      </c>
      <c r="I35" s="68">
        <f t="shared" si="0"/>
        <v>484.25</v>
      </c>
    </row>
    <row r="36" spans="1:9" ht="15.75">
      <c r="A36" s="55">
        <v>31</v>
      </c>
      <c r="B36" s="56" t="s">
        <v>45</v>
      </c>
      <c r="C36" s="66"/>
      <c r="D36" s="66"/>
      <c r="E36" s="66"/>
      <c r="F36" s="66"/>
      <c r="G36" s="66"/>
      <c r="H36" s="66"/>
      <c r="I36" s="68">
        <f t="shared" si="0"/>
        <v>0</v>
      </c>
    </row>
    <row r="37" spans="1:9" ht="15.75">
      <c r="A37" s="55">
        <v>32</v>
      </c>
      <c r="B37" s="56" t="s">
        <v>47</v>
      </c>
      <c r="C37" s="66">
        <v>667.04</v>
      </c>
      <c r="D37" s="66"/>
      <c r="E37" s="66"/>
      <c r="F37" s="66"/>
      <c r="G37" s="66"/>
      <c r="H37" s="66">
        <v>160.36</v>
      </c>
      <c r="I37" s="68">
        <f t="shared" si="0"/>
        <v>827.4</v>
      </c>
    </row>
    <row r="38" spans="1:9" ht="15.75">
      <c r="A38" s="55">
        <v>33</v>
      </c>
      <c r="B38" s="56" t="s">
        <v>60</v>
      </c>
      <c r="C38" s="66">
        <v>667.04</v>
      </c>
      <c r="D38" s="66"/>
      <c r="E38" s="66"/>
      <c r="F38" s="66"/>
      <c r="G38" s="66"/>
      <c r="H38" s="66"/>
      <c r="I38" s="68">
        <f t="shared" si="0"/>
        <v>667.04</v>
      </c>
    </row>
    <row r="39" spans="1:9" ht="15.75">
      <c r="A39" s="55">
        <v>34</v>
      </c>
      <c r="B39" s="56" t="s">
        <v>61</v>
      </c>
      <c r="C39" s="66">
        <v>333.52</v>
      </c>
      <c r="D39" s="66"/>
      <c r="E39" s="66"/>
      <c r="F39" s="66"/>
      <c r="G39" s="66"/>
      <c r="H39" s="66">
        <v>311.09</v>
      </c>
      <c r="I39" s="68">
        <f t="shared" si="0"/>
        <v>644.6099999999999</v>
      </c>
    </row>
    <row r="40" spans="1:9" ht="15.75">
      <c r="A40" s="55">
        <v>35</v>
      </c>
      <c r="B40" s="56" t="s">
        <v>71</v>
      </c>
      <c r="C40" s="66">
        <v>326.78</v>
      </c>
      <c r="D40" s="66"/>
      <c r="E40" s="66"/>
      <c r="F40" s="66"/>
      <c r="G40" s="66"/>
      <c r="H40" s="66"/>
      <c r="I40" s="68">
        <f t="shared" si="0"/>
        <v>326.78</v>
      </c>
    </row>
    <row r="41" spans="1:9" ht="15.75">
      <c r="A41" s="57"/>
      <c r="B41" s="57" t="s">
        <v>31</v>
      </c>
      <c r="C41" s="67">
        <f aca="true" t="shared" si="1" ref="C41:H41">SUM(C6:C40)</f>
        <v>12306.53</v>
      </c>
      <c r="D41" s="67">
        <f t="shared" si="1"/>
        <v>20207.019999999997</v>
      </c>
      <c r="E41" s="67">
        <f t="shared" si="1"/>
        <v>4725.039999999999</v>
      </c>
      <c r="F41" s="67">
        <f t="shared" si="1"/>
        <v>9265.86</v>
      </c>
      <c r="G41" s="67">
        <f t="shared" si="1"/>
        <v>2004.13</v>
      </c>
      <c r="H41" s="67">
        <f t="shared" si="1"/>
        <v>32097.719999999998</v>
      </c>
      <c r="I41" s="68">
        <f t="shared" si="0"/>
        <v>80606.29999999999</v>
      </c>
    </row>
  </sheetData>
  <printOptions/>
  <pageMargins left="0.75" right="0.75" top="1" bottom="1" header="0.5" footer="0.5"/>
  <pageSetup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F41"/>
  <sheetViews>
    <sheetView workbookViewId="0" topLeftCell="A1">
      <selection activeCell="D6" sqref="D6:D40"/>
    </sheetView>
  </sheetViews>
  <sheetFormatPr defaultColWidth="9.140625" defaultRowHeight="12.75"/>
  <cols>
    <col min="2" max="2" width="31.28125" style="0" bestFit="1" customWidth="1"/>
    <col min="3" max="3" width="21.7109375" style="0" customWidth="1"/>
    <col min="4" max="4" width="21.57421875" style="0" customWidth="1"/>
  </cols>
  <sheetData>
    <row r="3" spans="1:6" ht="15">
      <c r="A3" s="61" t="s">
        <v>92</v>
      </c>
      <c r="B3" s="61"/>
      <c r="C3" s="61"/>
      <c r="D3" s="61"/>
      <c r="E3" s="61"/>
      <c r="F3" s="61"/>
    </row>
    <row r="4" spans="1:6" ht="14.25">
      <c r="A4" s="83"/>
      <c r="B4" s="83"/>
      <c r="C4" s="83"/>
      <c r="D4" s="40"/>
      <c r="E4" s="36"/>
      <c r="F4" s="36"/>
    </row>
    <row r="5" spans="1:4" ht="31.5">
      <c r="A5" s="50" t="s">
        <v>0</v>
      </c>
      <c r="B5" s="51" t="s">
        <v>1</v>
      </c>
      <c r="C5" s="51" t="s">
        <v>67</v>
      </c>
      <c r="D5" s="51" t="s">
        <v>68</v>
      </c>
    </row>
    <row r="6" spans="1:4" ht="15.75">
      <c r="A6" s="55">
        <v>1</v>
      </c>
      <c r="B6" s="56" t="s">
        <v>6</v>
      </c>
      <c r="C6" s="66"/>
      <c r="D6" s="66"/>
    </row>
    <row r="7" spans="1:4" ht="15.75">
      <c r="A7" s="55">
        <v>2</v>
      </c>
      <c r="B7" s="56" t="s">
        <v>7</v>
      </c>
      <c r="C7" s="66"/>
      <c r="D7" s="66"/>
    </row>
    <row r="8" spans="1:4" ht="15.75">
      <c r="A8" s="55">
        <v>3</v>
      </c>
      <c r="B8" s="56" t="s">
        <v>8</v>
      </c>
      <c r="C8" s="66"/>
      <c r="D8" s="66"/>
    </row>
    <row r="9" spans="1:4" ht="15.75">
      <c r="A9" s="55">
        <v>4</v>
      </c>
      <c r="B9" s="56" t="s">
        <v>9</v>
      </c>
      <c r="C9" s="66"/>
      <c r="D9" s="66"/>
    </row>
    <row r="10" spans="1:4" ht="15.75">
      <c r="A10" s="55">
        <v>5</v>
      </c>
      <c r="B10" s="56" t="s">
        <v>10</v>
      </c>
      <c r="C10" s="66"/>
      <c r="D10" s="66"/>
    </row>
    <row r="11" spans="1:4" ht="15.75">
      <c r="A11" s="55">
        <v>6</v>
      </c>
      <c r="B11" s="56" t="s">
        <v>11</v>
      </c>
      <c r="C11" s="66"/>
      <c r="D11" s="66"/>
    </row>
    <row r="12" spans="1:4" ht="15.75">
      <c r="A12" s="55">
        <v>7</v>
      </c>
      <c r="B12" s="56" t="s">
        <v>59</v>
      </c>
      <c r="C12" s="66"/>
      <c r="D12" s="66"/>
    </row>
    <row r="13" spans="1:4" ht="15.75">
      <c r="A13" s="55">
        <v>8</v>
      </c>
      <c r="B13" s="56" t="s">
        <v>12</v>
      </c>
      <c r="C13" s="66"/>
      <c r="D13" s="66"/>
    </row>
    <row r="14" spans="1:4" ht="15.75">
      <c r="A14" s="55">
        <v>9</v>
      </c>
      <c r="B14" s="56" t="s">
        <v>13</v>
      </c>
      <c r="C14" s="66">
        <v>2896.36</v>
      </c>
      <c r="D14" s="66"/>
    </row>
    <row r="15" spans="1:4" ht="15.75">
      <c r="A15" s="55">
        <v>10</v>
      </c>
      <c r="B15" s="56" t="s">
        <v>14</v>
      </c>
      <c r="C15" s="66"/>
      <c r="D15" s="66"/>
    </row>
    <row r="16" spans="1:4" ht="15.75">
      <c r="A16" s="55">
        <v>11</v>
      </c>
      <c r="B16" s="56" t="s">
        <v>15</v>
      </c>
      <c r="C16" s="66"/>
      <c r="D16" s="66"/>
    </row>
    <row r="17" spans="1:4" ht="15.75">
      <c r="A17" s="55">
        <v>12</v>
      </c>
      <c r="B17" s="56" t="s">
        <v>16</v>
      </c>
      <c r="C17" s="66"/>
      <c r="D17" s="66"/>
    </row>
    <row r="18" spans="1:4" ht="15.75">
      <c r="A18" s="55">
        <v>13</v>
      </c>
      <c r="B18" s="56" t="s">
        <v>17</v>
      </c>
      <c r="C18" s="66">
        <v>7265.12</v>
      </c>
      <c r="D18" s="66"/>
    </row>
    <row r="19" spans="1:4" ht="15.75">
      <c r="A19" s="55">
        <v>14</v>
      </c>
      <c r="B19" s="56" t="s">
        <v>18</v>
      </c>
      <c r="C19" s="66"/>
      <c r="D19" s="66"/>
    </row>
    <row r="20" spans="1:4" ht="15.75">
      <c r="A20" s="55">
        <v>15</v>
      </c>
      <c r="B20" s="56" t="s">
        <v>19</v>
      </c>
      <c r="C20" s="66"/>
      <c r="D20" s="66"/>
    </row>
    <row r="21" spans="1:4" ht="15.75">
      <c r="A21" s="55">
        <v>16</v>
      </c>
      <c r="B21" s="56" t="s">
        <v>20</v>
      </c>
      <c r="C21" s="66"/>
      <c r="D21" s="66"/>
    </row>
    <row r="22" spans="1:4" ht="15.75">
      <c r="A22" s="55">
        <v>17</v>
      </c>
      <c r="B22" s="56" t="s">
        <v>21</v>
      </c>
      <c r="C22" s="66"/>
      <c r="D22" s="66"/>
    </row>
    <row r="23" spans="1:4" ht="15.75">
      <c r="A23" s="55">
        <v>18</v>
      </c>
      <c r="B23" s="56" t="s">
        <v>22</v>
      </c>
      <c r="C23" s="66"/>
      <c r="D23" s="66">
        <v>2720.92</v>
      </c>
    </row>
    <row r="24" spans="1:4" ht="15.75">
      <c r="A24" s="55">
        <v>19</v>
      </c>
      <c r="B24" s="56" t="s">
        <v>23</v>
      </c>
      <c r="C24" s="66"/>
      <c r="D24" s="66"/>
    </row>
    <row r="25" spans="1:4" ht="15.75">
      <c r="A25" s="55">
        <v>20</v>
      </c>
      <c r="B25" s="56" t="s">
        <v>24</v>
      </c>
      <c r="C25" s="66"/>
      <c r="D25" s="66"/>
    </row>
    <row r="26" spans="1:4" ht="15.75">
      <c r="A26" s="55">
        <v>21</v>
      </c>
      <c r="B26" s="56" t="s">
        <v>25</v>
      </c>
      <c r="C26" s="66">
        <v>333.96</v>
      </c>
      <c r="D26" s="66"/>
    </row>
    <row r="27" spans="1:4" ht="15.75">
      <c r="A27" s="55">
        <v>22</v>
      </c>
      <c r="B27" s="56" t="s">
        <v>26</v>
      </c>
      <c r="C27" s="66"/>
      <c r="D27" s="66"/>
    </row>
    <row r="28" spans="1:4" ht="15.75">
      <c r="A28" s="55">
        <v>23</v>
      </c>
      <c r="B28" s="56" t="s">
        <v>27</v>
      </c>
      <c r="C28" s="66"/>
      <c r="D28" s="66"/>
    </row>
    <row r="29" spans="1:4" ht="15.75">
      <c r="A29" s="55">
        <v>24</v>
      </c>
      <c r="B29" s="56" t="s">
        <v>28</v>
      </c>
      <c r="C29" s="66"/>
      <c r="D29" s="66"/>
    </row>
    <row r="30" spans="1:4" ht="15.75">
      <c r="A30" s="55">
        <v>25</v>
      </c>
      <c r="B30" s="56" t="s">
        <v>29</v>
      </c>
      <c r="C30" s="66"/>
      <c r="D30" s="66"/>
    </row>
    <row r="31" spans="1:4" ht="15.75">
      <c r="A31" s="55">
        <v>26</v>
      </c>
      <c r="B31" s="56" t="s">
        <v>30</v>
      </c>
      <c r="C31" s="66"/>
      <c r="D31" s="66"/>
    </row>
    <row r="32" spans="1:4" ht="15.75">
      <c r="A32" s="55">
        <v>27</v>
      </c>
      <c r="B32" s="56" t="s">
        <v>40</v>
      </c>
      <c r="C32" s="66"/>
      <c r="D32" s="66"/>
    </row>
    <row r="33" spans="1:4" ht="15.75">
      <c r="A33" s="55">
        <v>28</v>
      </c>
      <c r="B33" s="56" t="s">
        <v>41</v>
      </c>
      <c r="C33" s="66"/>
      <c r="D33" s="66"/>
    </row>
    <row r="34" spans="1:4" ht="15.75">
      <c r="A34" s="55">
        <v>29</v>
      </c>
      <c r="B34" s="56" t="s">
        <v>42</v>
      </c>
      <c r="C34" s="66"/>
      <c r="D34" s="66"/>
    </row>
    <row r="35" spans="1:4" ht="15.75">
      <c r="A35" s="55">
        <v>30</v>
      </c>
      <c r="B35" s="56" t="s">
        <v>44</v>
      </c>
      <c r="C35" s="66"/>
      <c r="D35" s="66"/>
    </row>
    <row r="36" spans="1:4" ht="15.75">
      <c r="A36" s="55">
        <v>31</v>
      </c>
      <c r="B36" s="56" t="s">
        <v>45</v>
      </c>
      <c r="C36" s="66"/>
      <c r="D36" s="66"/>
    </row>
    <row r="37" spans="1:4" ht="15.75">
      <c r="A37" s="55">
        <v>32</v>
      </c>
      <c r="B37" s="56" t="s">
        <v>47</v>
      </c>
      <c r="C37" s="66"/>
      <c r="D37" s="66"/>
    </row>
    <row r="38" spans="1:4" ht="15.75">
      <c r="A38" s="55">
        <v>33</v>
      </c>
      <c r="B38" s="56" t="s">
        <v>60</v>
      </c>
      <c r="C38" s="66"/>
      <c r="D38" s="66"/>
    </row>
    <row r="39" spans="1:4" ht="15.75">
      <c r="A39" s="55">
        <v>34</v>
      </c>
      <c r="B39" s="56" t="s">
        <v>61</v>
      </c>
      <c r="C39" s="66"/>
      <c r="D39" s="66"/>
    </row>
    <row r="40" spans="1:4" ht="15.75">
      <c r="A40" s="55">
        <v>35</v>
      </c>
      <c r="B40" s="56" t="s">
        <v>71</v>
      </c>
      <c r="C40" s="66"/>
      <c r="D40" s="66"/>
    </row>
    <row r="41" spans="1:4" ht="15.75">
      <c r="A41" s="57"/>
      <c r="B41" s="57" t="s">
        <v>31</v>
      </c>
      <c r="C41" s="67">
        <f>SUM(C6:C40)</f>
        <v>10495.439999999999</v>
      </c>
      <c r="D41" s="67">
        <f>SUM(D6:D40)</f>
        <v>2720.92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2"/>
  <sheetViews>
    <sheetView workbookViewId="0" topLeftCell="A4">
      <selection activeCell="I43" sqref="I43"/>
    </sheetView>
  </sheetViews>
  <sheetFormatPr defaultColWidth="9.140625" defaultRowHeight="12.75"/>
  <cols>
    <col min="1" max="1" width="6.8515625" style="0" customWidth="1"/>
    <col min="2" max="2" width="31.0039062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  <col min="7" max="7" width="16.28125" style="0" customWidth="1"/>
  </cols>
  <sheetData>
    <row r="3" spans="1:7" ht="15" customHeight="1">
      <c r="A3" s="77" t="s">
        <v>81</v>
      </c>
      <c r="B3" s="77"/>
      <c r="C3" s="77"/>
      <c r="D3" s="77"/>
      <c r="E3" s="77"/>
      <c r="F3" s="77"/>
      <c r="G3" s="78"/>
    </row>
    <row r="4" spans="1:6" ht="15">
      <c r="A4" s="34"/>
      <c r="B4" s="35"/>
      <c r="C4" s="35"/>
      <c r="D4" s="34"/>
      <c r="E4" s="34"/>
      <c r="F4" s="34"/>
    </row>
    <row r="5" spans="1:6" ht="15" thickBot="1">
      <c r="A5" s="36"/>
      <c r="B5" s="36"/>
      <c r="C5" s="37"/>
      <c r="D5" s="36"/>
      <c r="E5" s="38"/>
      <c r="F5" s="36"/>
    </row>
    <row r="6" spans="1:6" ht="46.5" customHeight="1" thickBot="1">
      <c r="A6" s="75" t="s">
        <v>0</v>
      </c>
      <c r="B6" s="76" t="s">
        <v>1</v>
      </c>
      <c r="C6" s="46" t="s">
        <v>32</v>
      </c>
      <c r="D6" s="46" t="s">
        <v>33</v>
      </c>
      <c r="E6" s="47" t="s">
        <v>34</v>
      </c>
      <c r="F6" s="36"/>
    </row>
    <row r="7" spans="1:9" ht="15.75">
      <c r="A7" s="73">
        <v>1</v>
      </c>
      <c r="B7" s="74" t="s">
        <v>6</v>
      </c>
      <c r="C7" s="44">
        <v>6219.14</v>
      </c>
      <c r="D7" s="44">
        <v>4969.2</v>
      </c>
      <c r="E7" s="45">
        <f>C7+D7</f>
        <v>11188.34</v>
      </c>
      <c r="F7" s="36"/>
      <c r="H7" s="3"/>
      <c r="I7" s="3"/>
    </row>
    <row r="8" spans="1:8" ht="15.75">
      <c r="A8" s="55">
        <v>2</v>
      </c>
      <c r="B8" s="56" t="s">
        <v>7</v>
      </c>
      <c r="C8" s="6">
        <v>2841.07</v>
      </c>
      <c r="D8" s="6">
        <v>2273</v>
      </c>
      <c r="E8" s="45">
        <f aca="true" t="shared" si="0" ref="E8:E42">C8+D8</f>
        <v>5114.07</v>
      </c>
      <c r="F8" s="36"/>
      <c r="H8" s="3"/>
    </row>
    <row r="9" spans="1:8" ht="15.75">
      <c r="A9" s="55">
        <v>3</v>
      </c>
      <c r="B9" s="56" t="s">
        <v>8</v>
      </c>
      <c r="C9" s="1">
        <v>4026.6</v>
      </c>
      <c r="D9" s="6">
        <v>3221.27</v>
      </c>
      <c r="E9" s="45">
        <f t="shared" si="0"/>
        <v>7247.87</v>
      </c>
      <c r="F9" s="36"/>
      <c r="H9" s="3"/>
    </row>
    <row r="10" spans="1:8" ht="15.75">
      <c r="A10" s="55">
        <v>4</v>
      </c>
      <c r="B10" s="56" t="s">
        <v>9</v>
      </c>
      <c r="C10" s="6">
        <v>5804.01</v>
      </c>
      <c r="D10" s="6">
        <v>4642.88</v>
      </c>
      <c r="E10" s="45">
        <f t="shared" si="0"/>
        <v>10446.89</v>
      </c>
      <c r="F10" s="36"/>
      <c r="H10" s="3"/>
    </row>
    <row r="11" spans="1:8" ht="15.75">
      <c r="A11" s="55">
        <v>5</v>
      </c>
      <c r="B11" s="56" t="s">
        <v>10</v>
      </c>
      <c r="C11" s="6">
        <v>2028.44</v>
      </c>
      <c r="D11" s="6">
        <v>1622.72</v>
      </c>
      <c r="E11" s="45">
        <f t="shared" si="0"/>
        <v>3651.16</v>
      </c>
      <c r="F11" s="36"/>
      <c r="H11" s="3"/>
    </row>
    <row r="12" spans="1:8" ht="15.75">
      <c r="A12" s="55">
        <v>6</v>
      </c>
      <c r="B12" s="56" t="s">
        <v>11</v>
      </c>
      <c r="C12" s="6">
        <v>6504.73</v>
      </c>
      <c r="D12" s="6">
        <v>5203.86</v>
      </c>
      <c r="E12" s="45">
        <f t="shared" si="0"/>
        <v>11708.59</v>
      </c>
      <c r="F12" s="36"/>
      <c r="H12" s="3"/>
    </row>
    <row r="13" spans="1:8" ht="15.75">
      <c r="A13" s="55">
        <v>7</v>
      </c>
      <c r="B13" s="56" t="s">
        <v>59</v>
      </c>
      <c r="C13" s="6">
        <v>7795.86</v>
      </c>
      <c r="D13" s="6">
        <v>6237.35</v>
      </c>
      <c r="E13" s="45">
        <f t="shared" si="0"/>
        <v>14033.21</v>
      </c>
      <c r="F13" s="36"/>
      <c r="H13" s="3"/>
    </row>
    <row r="14" spans="1:8" ht="15.75">
      <c r="A14" s="55">
        <v>8</v>
      </c>
      <c r="B14" s="56" t="s">
        <v>12</v>
      </c>
      <c r="C14" s="6">
        <v>519.23</v>
      </c>
      <c r="D14" s="6">
        <v>415.43</v>
      </c>
      <c r="E14" s="45">
        <f t="shared" si="0"/>
        <v>934.6600000000001</v>
      </c>
      <c r="F14" s="36"/>
      <c r="H14" s="3"/>
    </row>
    <row r="15" spans="1:8" ht="15.75">
      <c r="A15" s="55">
        <v>9</v>
      </c>
      <c r="B15" s="56" t="s">
        <v>13</v>
      </c>
      <c r="C15" s="6">
        <v>2897.17</v>
      </c>
      <c r="D15" s="6">
        <v>2317.73</v>
      </c>
      <c r="E15" s="45">
        <f t="shared" si="0"/>
        <v>5214.9</v>
      </c>
      <c r="F15" s="36"/>
      <c r="H15" s="3"/>
    </row>
    <row r="16" spans="1:8" ht="15.75">
      <c r="A16" s="55">
        <v>10</v>
      </c>
      <c r="B16" s="56" t="s">
        <v>14</v>
      </c>
      <c r="C16" s="6">
        <v>8330.52</v>
      </c>
      <c r="D16" s="6">
        <v>6664.74</v>
      </c>
      <c r="E16" s="45">
        <f t="shared" si="0"/>
        <v>14995.26</v>
      </c>
      <c r="F16" s="36"/>
      <c r="H16" s="3"/>
    </row>
    <row r="17" spans="1:8" ht="15.75">
      <c r="A17" s="55">
        <v>11</v>
      </c>
      <c r="B17" s="56" t="s">
        <v>15</v>
      </c>
      <c r="C17" s="6">
        <v>5285.06</v>
      </c>
      <c r="D17" s="6">
        <v>4227.93</v>
      </c>
      <c r="E17" s="45">
        <f t="shared" si="0"/>
        <v>9512.990000000002</v>
      </c>
      <c r="F17" s="36"/>
      <c r="H17" s="3"/>
    </row>
    <row r="18" spans="1:8" ht="15.75">
      <c r="A18" s="55">
        <v>12</v>
      </c>
      <c r="B18" s="56" t="s">
        <v>16</v>
      </c>
      <c r="C18" s="6">
        <v>760.3</v>
      </c>
      <c r="D18" s="6">
        <v>608.26</v>
      </c>
      <c r="E18" s="45">
        <f t="shared" si="0"/>
        <v>1368.56</v>
      </c>
      <c r="F18" s="36"/>
      <c r="H18" s="3"/>
    </row>
    <row r="19" spans="1:8" ht="15.75">
      <c r="A19" s="55">
        <v>13</v>
      </c>
      <c r="B19" s="56" t="s">
        <v>17</v>
      </c>
      <c r="C19" s="6">
        <v>4572.31</v>
      </c>
      <c r="D19" s="6">
        <v>3658.31</v>
      </c>
      <c r="E19" s="45">
        <f t="shared" si="0"/>
        <v>8230.62</v>
      </c>
      <c r="F19" s="36"/>
      <c r="H19" s="3"/>
    </row>
    <row r="20" spans="1:8" ht="15.75">
      <c r="A20" s="55">
        <v>14</v>
      </c>
      <c r="B20" s="56" t="s">
        <v>18</v>
      </c>
      <c r="C20" s="6">
        <v>4275.4</v>
      </c>
      <c r="D20" s="6">
        <v>3419.99</v>
      </c>
      <c r="E20" s="45">
        <f t="shared" si="0"/>
        <v>7695.389999999999</v>
      </c>
      <c r="F20" s="36"/>
      <c r="H20" s="3"/>
    </row>
    <row r="21" spans="1:8" ht="15.75">
      <c r="A21" s="55">
        <v>15</v>
      </c>
      <c r="B21" s="56" t="s">
        <v>19</v>
      </c>
      <c r="C21" s="6">
        <v>0</v>
      </c>
      <c r="D21" s="6">
        <v>0</v>
      </c>
      <c r="E21" s="45">
        <f t="shared" si="0"/>
        <v>0</v>
      </c>
      <c r="F21" s="36"/>
      <c r="H21" s="3"/>
    </row>
    <row r="22" spans="1:8" ht="15.75">
      <c r="A22" s="55">
        <v>16</v>
      </c>
      <c r="B22" s="56" t="s">
        <v>20</v>
      </c>
      <c r="C22" s="6">
        <v>1639.34</v>
      </c>
      <c r="D22" s="6">
        <v>1311.56</v>
      </c>
      <c r="E22" s="45">
        <f t="shared" si="0"/>
        <v>2950.8999999999996</v>
      </c>
      <c r="F22" s="36"/>
      <c r="H22" s="3"/>
    </row>
    <row r="23" spans="1:8" ht="15.75">
      <c r="A23" s="55">
        <v>17</v>
      </c>
      <c r="B23" s="56" t="s">
        <v>21</v>
      </c>
      <c r="C23" s="6">
        <v>2298.21</v>
      </c>
      <c r="D23" s="6">
        <v>1838.62</v>
      </c>
      <c r="E23" s="45">
        <f t="shared" si="0"/>
        <v>4136.83</v>
      </c>
      <c r="F23" s="36"/>
      <c r="H23" s="3"/>
    </row>
    <row r="24" spans="1:8" ht="15.75">
      <c r="A24" s="55">
        <v>18</v>
      </c>
      <c r="B24" s="56" t="s">
        <v>22</v>
      </c>
      <c r="C24" s="6">
        <v>4683.83</v>
      </c>
      <c r="D24" s="6">
        <v>3747.64</v>
      </c>
      <c r="E24" s="45">
        <f t="shared" si="0"/>
        <v>8431.47</v>
      </c>
      <c r="F24" s="36"/>
      <c r="H24" s="3"/>
    </row>
    <row r="25" spans="1:8" ht="15.75">
      <c r="A25" s="55">
        <v>19</v>
      </c>
      <c r="B25" s="56" t="s">
        <v>23</v>
      </c>
      <c r="C25" s="6">
        <v>654.23</v>
      </c>
      <c r="D25" s="6">
        <v>523.41</v>
      </c>
      <c r="E25" s="45">
        <f t="shared" si="0"/>
        <v>1177.6399999999999</v>
      </c>
      <c r="F25" s="36"/>
      <c r="H25" s="3"/>
    </row>
    <row r="26" spans="1:8" ht="15.75">
      <c r="A26" s="55">
        <v>20</v>
      </c>
      <c r="B26" s="56" t="s">
        <v>24</v>
      </c>
      <c r="C26" s="6">
        <v>2550.34</v>
      </c>
      <c r="D26" s="6">
        <v>2040.34</v>
      </c>
      <c r="E26" s="45">
        <f t="shared" si="0"/>
        <v>4590.68</v>
      </c>
      <c r="F26" s="36"/>
      <c r="H26" s="3"/>
    </row>
    <row r="27" spans="1:8" ht="15.75">
      <c r="A27" s="55">
        <v>21</v>
      </c>
      <c r="B27" s="56" t="s">
        <v>25</v>
      </c>
      <c r="C27" s="6">
        <v>4539.1</v>
      </c>
      <c r="D27" s="6">
        <v>3632.44</v>
      </c>
      <c r="E27" s="45">
        <f t="shared" si="0"/>
        <v>8171.540000000001</v>
      </c>
      <c r="F27" s="36"/>
      <c r="H27" s="3"/>
    </row>
    <row r="28" spans="1:8" ht="15.75">
      <c r="A28" s="55">
        <v>22</v>
      </c>
      <c r="B28" s="56" t="s">
        <v>26</v>
      </c>
      <c r="C28" s="6">
        <v>246.03</v>
      </c>
      <c r="D28" s="6">
        <v>196.82</v>
      </c>
      <c r="E28" s="45">
        <f t="shared" si="0"/>
        <v>442.85</v>
      </c>
      <c r="F28" s="36"/>
      <c r="H28" s="3"/>
    </row>
    <row r="29" spans="1:8" ht="15.75">
      <c r="A29" s="55">
        <v>23</v>
      </c>
      <c r="B29" s="56" t="s">
        <v>27</v>
      </c>
      <c r="C29" s="6">
        <v>1673.48</v>
      </c>
      <c r="D29" s="6">
        <v>1338.88</v>
      </c>
      <c r="E29" s="45">
        <f t="shared" si="0"/>
        <v>3012.36</v>
      </c>
      <c r="F29" s="36"/>
      <c r="H29" s="3"/>
    </row>
    <row r="30" spans="1:8" ht="15.75">
      <c r="A30" s="55">
        <v>24</v>
      </c>
      <c r="B30" s="56" t="s">
        <v>28</v>
      </c>
      <c r="C30" s="6">
        <v>1919.67</v>
      </c>
      <c r="D30" s="6">
        <v>1535.61</v>
      </c>
      <c r="E30" s="45">
        <f t="shared" si="0"/>
        <v>3455.2799999999997</v>
      </c>
      <c r="F30" s="36"/>
      <c r="H30" s="3"/>
    </row>
    <row r="31" spans="1:8" ht="15.75">
      <c r="A31" s="55">
        <v>25</v>
      </c>
      <c r="B31" s="56" t="s">
        <v>29</v>
      </c>
      <c r="C31" s="6">
        <v>8256.01</v>
      </c>
      <c r="D31" s="6">
        <v>6604.78</v>
      </c>
      <c r="E31" s="45">
        <f t="shared" si="0"/>
        <v>14860.79</v>
      </c>
      <c r="F31" s="36"/>
      <c r="H31" s="3"/>
    </row>
    <row r="32" spans="1:8" ht="15.75">
      <c r="A32" s="55">
        <v>26</v>
      </c>
      <c r="B32" s="56" t="s">
        <v>30</v>
      </c>
      <c r="C32" s="6">
        <v>8413.4</v>
      </c>
      <c r="D32" s="6">
        <v>6730.7</v>
      </c>
      <c r="E32" s="45">
        <f t="shared" si="0"/>
        <v>15144.099999999999</v>
      </c>
      <c r="F32" s="36"/>
      <c r="H32" s="3"/>
    </row>
    <row r="33" spans="1:8" ht="15.75">
      <c r="A33" s="55">
        <v>27</v>
      </c>
      <c r="B33" s="56" t="s">
        <v>40</v>
      </c>
      <c r="C33" s="6">
        <v>892.8</v>
      </c>
      <c r="D33" s="6">
        <v>714.28</v>
      </c>
      <c r="E33" s="45">
        <f t="shared" si="0"/>
        <v>1607.08</v>
      </c>
      <c r="F33" s="36"/>
      <c r="H33" s="3"/>
    </row>
    <row r="34" spans="1:8" ht="15.75">
      <c r="A34" s="55">
        <v>28</v>
      </c>
      <c r="B34" s="56" t="s">
        <v>41</v>
      </c>
      <c r="C34" s="6">
        <v>6133.86</v>
      </c>
      <c r="D34" s="6">
        <v>4907.4</v>
      </c>
      <c r="E34" s="45">
        <f t="shared" si="0"/>
        <v>11041.259999999998</v>
      </c>
      <c r="F34" s="36"/>
      <c r="H34" s="3"/>
    </row>
    <row r="35" spans="1:8" ht="15.75">
      <c r="A35" s="55">
        <v>29</v>
      </c>
      <c r="B35" s="56" t="s">
        <v>42</v>
      </c>
      <c r="C35" s="6">
        <v>5276.54</v>
      </c>
      <c r="D35" s="6">
        <v>4221.13</v>
      </c>
      <c r="E35" s="45">
        <f t="shared" si="0"/>
        <v>9497.67</v>
      </c>
      <c r="F35" s="36"/>
      <c r="H35" s="3"/>
    </row>
    <row r="36" spans="1:8" ht="15.75">
      <c r="A36" s="55">
        <v>30</v>
      </c>
      <c r="B36" s="56" t="s">
        <v>44</v>
      </c>
      <c r="C36" s="6">
        <v>1978.39</v>
      </c>
      <c r="D36" s="6">
        <v>1582.82</v>
      </c>
      <c r="E36" s="45">
        <f t="shared" si="0"/>
        <v>3561.21</v>
      </c>
      <c r="F36" s="36"/>
      <c r="H36" s="3"/>
    </row>
    <row r="37" spans="1:8" ht="15.75">
      <c r="A37" s="55">
        <v>31</v>
      </c>
      <c r="B37" s="56" t="s">
        <v>45</v>
      </c>
      <c r="C37" s="6">
        <v>0</v>
      </c>
      <c r="D37" s="6">
        <v>0</v>
      </c>
      <c r="E37" s="45">
        <f t="shared" si="0"/>
        <v>0</v>
      </c>
      <c r="F37" s="36"/>
      <c r="H37" s="3"/>
    </row>
    <row r="38" spans="1:8" ht="15.75">
      <c r="A38" s="55">
        <v>32</v>
      </c>
      <c r="B38" s="56" t="s">
        <v>47</v>
      </c>
      <c r="C38" s="6">
        <v>1736.63</v>
      </c>
      <c r="D38" s="6">
        <v>1389.36</v>
      </c>
      <c r="E38" s="45">
        <f t="shared" si="0"/>
        <v>3125.99</v>
      </c>
      <c r="F38" s="36"/>
      <c r="H38" s="3"/>
    </row>
    <row r="39" spans="1:8" ht="15.75">
      <c r="A39" s="55">
        <v>33</v>
      </c>
      <c r="B39" s="56" t="s">
        <v>60</v>
      </c>
      <c r="C39" s="6">
        <v>239.61</v>
      </c>
      <c r="D39" s="6">
        <v>191.73</v>
      </c>
      <c r="E39" s="45">
        <f t="shared" si="0"/>
        <v>431.34000000000003</v>
      </c>
      <c r="F39" s="36"/>
      <c r="H39" s="3"/>
    </row>
    <row r="40" spans="1:8" ht="15.75">
      <c r="A40" s="55">
        <v>34</v>
      </c>
      <c r="B40" s="56" t="s">
        <v>61</v>
      </c>
      <c r="C40" s="6">
        <v>1114.97</v>
      </c>
      <c r="D40" s="6">
        <v>891.97</v>
      </c>
      <c r="E40" s="45">
        <f t="shared" si="0"/>
        <v>2006.94</v>
      </c>
      <c r="F40" s="36"/>
      <c r="H40" s="3"/>
    </row>
    <row r="41" spans="1:8" ht="15.75">
      <c r="A41" s="55">
        <v>35</v>
      </c>
      <c r="B41" s="56" t="s">
        <v>71</v>
      </c>
      <c r="C41" s="6">
        <v>146.73</v>
      </c>
      <c r="D41" s="6">
        <v>117.41</v>
      </c>
      <c r="E41" s="45">
        <f t="shared" si="0"/>
        <v>264.14</v>
      </c>
      <c r="F41" s="36"/>
      <c r="H41" s="3"/>
    </row>
    <row r="42" spans="1:8" ht="15.75">
      <c r="A42" s="57"/>
      <c r="B42" s="57" t="s">
        <v>31</v>
      </c>
      <c r="C42" s="68">
        <f>SUM(C7:C41)</f>
        <v>116253.00999999998</v>
      </c>
      <c r="D42" s="68">
        <f>SUM(D7:D41)</f>
        <v>92999.56999999999</v>
      </c>
      <c r="E42" s="45">
        <f t="shared" si="0"/>
        <v>209252.57999999996</v>
      </c>
      <c r="F42" s="36"/>
      <c r="H42" s="3"/>
    </row>
    <row r="44" ht="12.75">
      <c r="D44" s="3"/>
    </row>
    <row r="45" spans="3:5" ht="12.75">
      <c r="C45" s="3"/>
      <c r="E45" s="3"/>
    </row>
    <row r="46" spans="4:5" ht="12.75">
      <c r="D46" s="3"/>
      <c r="E46" s="3"/>
    </row>
    <row r="52" ht="12.75">
      <c r="C52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6"/>
  <sheetViews>
    <sheetView workbookViewId="0" topLeftCell="A5">
      <selection activeCell="D12" sqref="D12"/>
    </sheetView>
  </sheetViews>
  <sheetFormatPr defaultColWidth="9.140625" defaultRowHeight="12.75"/>
  <cols>
    <col min="1" max="1" width="31.28125" style="0" bestFit="1" customWidth="1"/>
    <col min="2" max="2" width="13.7109375" style="0" bestFit="1" customWidth="1"/>
    <col min="3" max="3" width="11.8515625" style="0" customWidth="1"/>
    <col min="4" max="4" width="12.28125" style="0" customWidth="1"/>
    <col min="6" max="6" width="12.7109375" style="0" customWidth="1"/>
    <col min="10" max="10" width="13.7109375" style="0" customWidth="1"/>
  </cols>
  <sheetData>
    <row r="2" spans="1:10" ht="33.75" customHeight="1">
      <c r="A2" s="79" t="s">
        <v>82</v>
      </c>
      <c r="B2" s="80"/>
      <c r="C2" s="80"/>
      <c r="D2" s="80"/>
      <c r="E2" s="80"/>
      <c r="F2" s="80"/>
      <c r="G2" s="80"/>
      <c r="H2" s="80"/>
      <c r="I2" s="80"/>
      <c r="J2" s="80"/>
    </row>
    <row r="3" spans="1:5" ht="15">
      <c r="A3" s="35"/>
      <c r="B3" s="35"/>
      <c r="C3" s="34"/>
      <c r="D3" s="34"/>
      <c r="E3" s="34"/>
    </row>
    <row r="4" spans="1:5" ht="15" thickBot="1">
      <c r="A4" s="36"/>
      <c r="B4" s="37"/>
      <c r="C4" s="36"/>
      <c r="D4" s="38"/>
      <c r="E4" s="36"/>
    </row>
    <row r="5" spans="1:5" ht="60.75" thickBot="1">
      <c r="A5" s="51" t="s">
        <v>1</v>
      </c>
      <c r="B5" s="46" t="s">
        <v>32</v>
      </c>
      <c r="C5" s="46" t="s">
        <v>33</v>
      </c>
      <c r="D5" s="47" t="s">
        <v>78</v>
      </c>
      <c r="E5" s="36"/>
    </row>
    <row r="6" spans="1:5" ht="15.75">
      <c r="A6" s="56" t="s">
        <v>6</v>
      </c>
      <c r="B6" s="44">
        <v>313.12</v>
      </c>
      <c r="C6" s="44">
        <v>250.51</v>
      </c>
      <c r="D6" s="45">
        <f>B6+C6</f>
        <v>563.63</v>
      </c>
      <c r="E6" s="36"/>
    </row>
    <row r="7" spans="1:5" ht="15.75">
      <c r="A7" s="56" t="s">
        <v>7</v>
      </c>
      <c r="B7" s="6"/>
      <c r="C7" s="6"/>
      <c r="D7" s="45">
        <f aca="true" t="shared" si="0" ref="D7:D41">B7+C7</f>
        <v>0</v>
      </c>
      <c r="E7" s="36"/>
    </row>
    <row r="8" spans="1:5" ht="15.75">
      <c r="A8" s="56" t="s">
        <v>8</v>
      </c>
      <c r="B8" s="1"/>
      <c r="C8" s="6"/>
      <c r="D8" s="45">
        <f t="shared" si="0"/>
        <v>0</v>
      </c>
      <c r="E8" s="36"/>
    </row>
    <row r="9" spans="1:5" ht="15.75">
      <c r="A9" s="56" t="s">
        <v>9</v>
      </c>
      <c r="B9" s="6"/>
      <c r="C9" s="6"/>
      <c r="D9" s="45">
        <f t="shared" si="0"/>
        <v>0</v>
      </c>
      <c r="E9" s="36"/>
    </row>
    <row r="10" spans="1:5" ht="15.75">
      <c r="A10" s="56" t="s">
        <v>10</v>
      </c>
      <c r="B10" s="6"/>
      <c r="C10" s="6"/>
      <c r="D10" s="45">
        <f t="shared" si="0"/>
        <v>0</v>
      </c>
      <c r="E10" s="36"/>
    </row>
    <row r="11" spans="1:5" ht="15.75">
      <c r="A11" s="56" t="s">
        <v>11</v>
      </c>
      <c r="B11" s="6"/>
      <c r="C11" s="6"/>
      <c r="D11" s="45">
        <f t="shared" si="0"/>
        <v>0</v>
      </c>
      <c r="E11" s="36"/>
    </row>
    <row r="12" spans="1:5" ht="15.75">
      <c r="A12" s="56" t="s">
        <v>59</v>
      </c>
      <c r="B12" s="6">
        <v>150.73</v>
      </c>
      <c r="C12" s="6">
        <v>120.58</v>
      </c>
      <c r="D12" s="45">
        <f t="shared" si="0"/>
        <v>271.31</v>
      </c>
      <c r="E12" s="36"/>
    </row>
    <row r="13" spans="1:5" ht="15.75">
      <c r="A13" s="56" t="s">
        <v>12</v>
      </c>
      <c r="B13" s="6"/>
      <c r="C13" s="6"/>
      <c r="D13" s="45">
        <f t="shared" si="0"/>
        <v>0</v>
      </c>
      <c r="E13" s="36"/>
    </row>
    <row r="14" spans="1:5" ht="15.75">
      <c r="A14" s="56" t="s">
        <v>13</v>
      </c>
      <c r="B14" s="6"/>
      <c r="C14" s="6"/>
      <c r="D14" s="45">
        <f t="shared" si="0"/>
        <v>0</v>
      </c>
      <c r="E14" s="36"/>
    </row>
    <row r="15" spans="1:5" ht="15.75">
      <c r="A15" s="56" t="s">
        <v>14</v>
      </c>
      <c r="B15" s="6">
        <v>311.1</v>
      </c>
      <c r="C15" s="6">
        <v>248.87</v>
      </c>
      <c r="D15" s="45">
        <f t="shared" si="0"/>
        <v>559.97</v>
      </c>
      <c r="E15" s="36"/>
    </row>
    <row r="16" spans="1:5" ht="15.75">
      <c r="A16" s="56" t="s">
        <v>15</v>
      </c>
      <c r="B16" s="6">
        <v>141.31</v>
      </c>
      <c r="C16" s="6">
        <v>113.04</v>
      </c>
      <c r="D16" s="45">
        <f t="shared" si="0"/>
        <v>254.35000000000002</v>
      </c>
      <c r="E16" s="36"/>
    </row>
    <row r="17" spans="1:5" ht="15.75">
      <c r="A17" s="56" t="s">
        <v>16</v>
      </c>
      <c r="B17" s="6"/>
      <c r="C17" s="6"/>
      <c r="D17" s="45">
        <f t="shared" si="0"/>
        <v>0</v>
      </c>
      <c r="E17" s="36"/>
    </row>
    <row r="18" spans="1:5" ht="15.75">
      <c r="A18" s="56" t="s">
        <v>17</v>
      </c>
      <c r="B18" s="6">
        <v>160.37</v>
      </c>
      <c r="C18" s="6">
        <v>128.29</v>
      </c>
      <c r="D18" s="45">
        <f t="shared" si="0"/>
        <v>288.65999999999997</v>
      </c>
      <c r="E18" s="36"/>
    </row>
    <row r="19" spans="1:5" ht="15.75">
      <c r="A19" s="56" t="s">
        <v>18</v>
      </c>
      <c r="B19" s="6">
        <v>141.31</v>
      </c>
      <c r="C19" s="6">
        <v>113.04</v>
      </c>
      <c r="D19" s="45">
        <f t="shared" si="0"/>
        <v>254.35000000000002</v>
      </c>
      <c r="E19" s="36"/>
    </row>
    <row r="20" spans="1:5" ht="15.75">
      <c r="A20" s="56" t="s">
        <v>19</v>
      </c>
      <c r="B20" s="6"/>
      <c r="C20" s="6"/>
      <c r="D20" s="45">
        <f t="shared" si="0"/>
        <v>0</v>
      </c>
      <c r="E20" s="36"/>
    </row>
    <row r="21" spans="1:5" ht="15.75">
      <c r="A21" s="56" t="s">
        <v>20</v>
      </c>
      <c r="B21" s="6"/>
      <c r="C21" s="6"/>
      <c r="D21" s="45">
        <f t="shared" si="0"/>
        <v>0</v>
      </c>
      <c r="E21" s="36"/>
    </row>
    <row r="22" spans="1:5" ht="15.75">
      <c r="A22" s="56" t="s">
        <v>21</v>
      </c>
      <c r="B22" s="6"/>
      <c r="C22" s="6"/>
      <c r="D22" s="45">
        <f t="shared" si="0"/>
        <v>0</v>
      </c>
      <c r="E22" s="36"/>
    </row>
    <row r="23" spans="1:5" ht="15.75">
      <c r="A23" s="56" t="s">
        <v>22</v>
      </c>
      <c r="B23" s="6">
        <v>140.67</v>
      </c>
      <c r="C23" s="6">
        <v>112.54</v>
      </c>
      <c r="D23" s="45">
        <f t="shared" si="0"/>
        <v>253.20999999999998</v>
      </c>
      <c r="E23" s="36"/>
    </row>
    <row r="24" spans="1:5" ht="15.75">
      <c r="A24" s="56" t="s">
        <v>23</v>
      </c>
      <c r="B24" s="6"/>
      <c r="C24" s="6"/>
      <c r="D24" s="45">
        <f t="shared" si="0"/>
        <v>0</v>
      </c>
      <c r="E24" s="36"/>
    </row>
    <row r="25" spans="1:5" ht="15.75">
      <c r="A25" s="56" t="s">
        <v>24</v>
      </c>
      <c r="B25" s="6">
        <v>150.73</v>
      </c>
      <c r="C25" s="6">
        <v>120.58</v>
      </c>
      <c r="D25" s="45">
        <f t="shared" si="0"/>
        <v>271.31</v>
      </c>
      <c r="E25" s="36"/>
    </row>
    <row r="26" spans="1:5" ht="15.75">
      <c r="A26" s="56" t="s">
        <v>25</v>
      </c>
      <c r="B26" s="6"/>
      <c r="C26" s="6"/>
      <c r="D26" s="45">
        <f t="shared" si="0"/>
        <v>0</v>
      </c>
      <c r="E26" s="36"/>
    </row>
    <row r="27" spans="1:5" ht="15.75">
      <c r="A27" s="56" t="s">
        <v>26</v>
      </c>
      <c r="B27" s="6"/>
      <c r="C27" s="6"/>
      <c r="D27" s="45">
        <f t="shared" si="0"/>
        <v>0</v>
      </c>
      <c r="E27" s="36"/>
    </row>
    <row r="28" spans="1:5" ht="15.75">
      <c r="A28" s="56" t="s">
        <v>27</v>
      </c>
      <c r="B28" s="6"/>
      <c r="C28" s="6"/>
      <c r="D28" s="45">
        <f t="shared" si="0"/>
        <v>0</v>
      </c>
      <c r="E28" s="36"/>
    </row>
    <row r="29" spans="1:5" ht="15.75">
      <c r="A29" s="56" t="s">
        <v>28</v>
      </c>
      <c r="B29" s="6">
        <v>150.73</v>
      </c>
      <c r="C29" s="6">
        <v>120.58</v>
      </c>
      <c r="D29" s="45">
        <f t="shared" si="0"/>
        <v>271.31</v>
      </c>
      <c r="E29" s="36"/>
    </row>
    <row r="30" spans="1:5" ht="15.75">
      <c r="A30" s="56" t="s">
        <v>29</v>
      </c>
      <c r="B30" s="6">
        <v>241.79</v>
      </c>
      <c r="C30" s="6">
        <v>193.43</v>
      </c>
      <c r="D30" s="45">
        <f t="shared" si="0"/>
        <v>435.22</v>
      </c>
      <c r="E30" s="36"/>
    </row>
    <row r="31" spans="1:5" ht="15.75">
      <c r="A31" s="56" t="s">
        <v>30</v>
      </c>
      <c r="B31" s="6">
        <v>320.74</v>
      </c>
      <c r="C31" s="6">
        <v>256.58</v>
      </c>
      <c r="D31" s="45">
        <f t="shared" si="0"/>
        <v>577.3199999999999</v>
      </c>
      <c r="E31" s="36"/>
    </row>
    <row r="32" spans="1:5" ht="15.75">
      <c r="A32" s="56" t="s">
        <v>40</v>
      </c>
      <c r="B32" s="6"/>
      <c r="C32" s="6"/>
      <c r="D32" s="45">
        <f t="shared" si="0"/>
        <v>0</v>
      </c>
      <c r="E32" s="36"/>
    </row>
    <row r="33" spans="1:5" ht="15.75">
      <c r="A33" s="56" t="s">
        <v>41</v>
      </c>
      <c r="B33" s="6"/>
      <c r="C33" s="6"/>
      <c r="D33" s="45">
        <f t="shared" si="0"/>
        <v>0</v>
      </c>
      <c r="E33" s="36"/>
    </row>
    <row r="34" spans="1:5" ht="15.75">
      <c r="A34" s="56" t="s">
        <v>42</v>
      </c>
      <c r="B34" s="6"/>
      <c r="C34" s="6"/>
      <c r="D34" s="45">
        <f t="shared" si="0"/>
        <v>0</v>
      </c>
      <c r="E34" s="36"/>
    </row>
    <row r="35" spans="1:5" ht="15.75">
      <c r="A35" s="56" t="s">
        <v>44</v>
      </c>
      <c r="B35" s="6">
        <v>160.37</v>
      </c>
      <c r="C35" s="6">
        <v>128.29</v>
      </c>
      <c r="D35" s="45">
        <f t="shared" si="0"/>
        <v>288.65999999999997</v>
      </c>
      <c r="E35" s="36"/>
    </row>
    <row r="36" spans="1:5" ht="15.75">
      <c r="A36" s="56" t="s">
        <v>45</v>
      </c>
      <c r="B36" s="6"/>
      <c r="C36" s="6"/>
      <c r="D36" s="45">
        <f t="shared" si="0"/>
        <v>0</v>
      </c>
      <c r="E36" s="36"/>
    </row>
    <row r="37" spans="1:5" ht="15.75">
      <c r="A37" s="56" t="s">
        <v>47</v>
      </c>
      <c r="B37" s="6"/>
      <c r="C37" s="6"/>
      <c r="D37" s="45">
        <f t="shared" si="0"/>
        <v>0</v>
      </c>
      <c r="E37" s="36"/>
    </row>
    <row r="38" spans="1:5" ht="15.75">
      <c r="A38" s="56" t="s">
        <v>60</v>
      </c>
      <c r="B38" s="6"/>
      <c r="C38" s="6"/>
      <c r="D38" s="45">
        <f t="shared" si="0"/>
        <v>0</v>
      </c>
      <c r="E38" s="36"/>
    </row>
    <row r="39" spans="1:5" ht="15.75">
      <c r="A39" s="56" t="s">
        <v>61</v>
      </c>
      <c r="B39" s="6"/>
      <c r="C39" s="6"/>
      <c r="D39" s="45">
        <f t="shared" si="0"/>
        <v>0</v>
      </c>
      <c r="E39" s="36"/>
    </row>
    <row r="40" spans="1:5" ht="15.75">
      <c r="A40" s="56" t="s">
        <v>71</v>
      </c>
      <c r="B40" s="6"/>
      <c r="C40" s="6"/>
      <c r="D40" s="45">
        <f t="shared" si="0"/>
        <v>0</v>
      </c>
      <c r="E40" s="36"/>
    </row>
    <row r="41" spans="1:5" ht="15.75">
      <c r="A41" s="57" t="s">
        <v>31</v>
      </c>
      <c r="B41" s="68">
        <f>SUM(B6:B40)</f>
        <v>2382.9700000000003</v>
      </c>
      <c r="C41" s="68">
        <f>SUM(C6:C40)</f>
        <v>1906.3299999999997</v>
      </c>
      <c r="D41" s="45">
        <f t="shared" si="0"/>
        <v>4289.3</v>
      </c>
      <c r="E41" s="36"/>
    </row>
    <row r="44" spans="2:4" ht="12.75">
      <c r="B44" s="3"/>
      <c r="C44" s="3"/>
      <c r="D44" s="3"/>
    </row>
    <row r="45" spans="3:4" ht="12.75">
      <c r="C45" s="3"/>
      <c r="D45" s="3"/>
    </row>
    <row r="46" ht="12.75">
      <c r="D46" s="3"/>
    </row>
  </sheetData>
  <mergeCells count="1">
    <mergeCell ref="A2:J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50"/>
  <sheetViews>
    <sheetView workbookViewId="0" topLeftCell="A1">
      <selection activeCell="C6" sqref="C6:C40"/>
    </sheetView>
  </sheetViews>
  <sheetFormatPr defaultColWidth="9.140625" defaultRowHeight="12.75"/>
  <cols>
    <col min="2" max="2" width="34.421875" style="0" customWidth="1"/>
    <col min="3" max="3" width="12.57421875" style="0" customWidth="1"/>
    <col min="4" max="5" width="13.140625" style="0" bestFit="1" customWidth="1"/>
  </cols>
  <sheetData>
    <row r="3" spans="1:7" ht="15">
      <c r="A3" s="81" t="s">
        <v>83</v>
      </c>
      <c r="B3" s="81"/>
      <c r="C3" s="81"/>
      <c r="D3" s="81"/>
      <c r="E3" s="81"/>
      <c r="F3" s="81"/>
      <c r="G3" s="81"/>
    </row>
    <row r="4" spans="1:7" ht="14.25">
      <c r="A4" s="36"/>
      <c r="B4" s="36"/>
      <c r="C4" s="38"/>
      <c r="D4" s="1"/>
      <c r="E4" s="1"/>
      <c r="F4" s="36"/>
      <c r="G4" s="36"/>
    </row>
    <row r="5" spans="1:7" ht="30">
      <c r="A5" s="50" t="s">
        <v>0</v>
      </c>
      <c r="B5" s="51" t="s">
        <v>1</v>
      </c>
      <c r="C5" s="43" t="s">
        <v>35</v>
      </c>
      <c r="D5" s="1"/>
      <c r="E5" s="1"/>
      <c r="F5" s="36"/>
      <c r="G5" s="36"/>
    </row>
    <row r="6" spans="1:7" ht="15.75">
      <c r="A6" s="55">
        <v>1</v>
      </c>
      <c r="B6" s="56" t="s">
        <v>6</v>
      </c>
      <c r="C6" s="69">
        <v>29484.14</v>
      </c>
      <c r="D6" s="1"/>
      <c r="E6" s="1"/>
      <c r="F6" s="36"/>
      <c r="G6" s="36"/>
    </row>
    <row r="7" spans="1:7" ht="15.75">
      <c r="A7" s="55">
        <v>2</v>
      </c>
      <c r="B7" s="56" t="s">
        <v>7</v>
      </c>
      <c r="C7" s="69">
        <v>13847.38</v>
      </c>
      <c r="D7" s="1"/>
      <c r="E7" s="1"/>
      <c r="F7" s="36"/>
      <c r="G7" s="36"/>
    </row>
    <row r="8" spans="1:7" ht="15.75">
      <c r="A8" s="55">
        <v>3</v>
      </c>
      <c r="B8" s="56" t="s">
        <v>8</v>
      </c>
      <c r="C8" s="69">
        <v>10710.02</v>
      </c>
      <c r="D8" s="1"/>
      <c r="E8" s="1"/>
      <c r="F8" s="36"/>
      <c r="G8" s="36"/>
    </row>
    <row r="9" spans="1:7" ht="15.75">
      <c r="A9" s="55">
        <v>4</v>
      </c>
      <c r="B9" s="56" t="s">
        <v>9</v>
      </c>
      <c r="C9" s="69">
        <v>3413.39</v>
      </c>
      <c r="D9" s="1"/>
      <c r="E9" s="1"/>
      <c r="F9" s="36"/>
      <c r="G9" s="36"/>
    </row>
    <row r="10" spans="1:7" ht="15.75">
      <c r="A10" s="55">
        <v>5</v>
      </c>
      <c r="B10" s="56" t="s">
        <v>10</v>
      </c>
      <c r="C10" s="69">
        <v>20543.13</v>
      </c>
      <c r="D10" s="1"/>
      <c r="E10" s="1"/>
      <c r="F10" s="36"/>
      <c r="G10" s="36"/>
    </row>
    <row r="11" spans="1:7" ht="15.75">
      <c r="A11" s="55">
        <v>6</v>
      </c>
      <c r="B11" s="56" t="s">
        <v>11</v>
      </c>
      <c r="C11" s="69">
        <v>88056.6</v>
      </c>
      <c r="D11" s="1"/>
      <c r="E11" s="1"/>
      <c r="F11" s="36"/>
      <c r="G11" s="36"/>
    </row>
    <row r="12" spans="1:7" ht="15.75">
      <c r="A12" s="55">
        <v>7</v>
      </c>
      <c r="B12" s="56" t="s">
        <v>59</v>
      </c>
      <c r="C12" s="69">
        <v>37894.2</v>
      </c>
      <c r="D12" s="1"/>
      <c r="E12" s="1"/>
      <c r="F12" s="36"/>
      <c r="G12" s="36"/>
    </row>
    <row r="13" spans="1:7" ht="15.75">
      <c r="A13" s="55">
        <v>8</v>
      </c>
      <c r="B13" s="56" t="s">
        <v>12</v>
      </c>
      <c r="C13" s="69">
        <v>67767.44</v>
      </c>
      <c r="D13" s="1"/>
      <c r="E13" s="1"/>
      <c r="F13" s="36"/>
      <c r="G13" s="36"/>
    </row>
    <row r="14" spans="1:7" ht="15.75">
      <c r="A14" s="55">
        <v>9</v>
      </c>
      <c r="B14" s="56" t="s">
        <v>13</v>
      </c>
      <c r="C14" s="69">
        <v>28099.47</v>
      </c>
      <c r="D14" s="1"/>
      <c r="E14" s="1"/>
      <c r="F14" s="36"/>
      <c r="G14" s="36"/>
    </row>
    <row r="15" spans="1:7" ht="15.75">
      <c r="A15" s="55">
        <v>10</v>
      </c>
      <c r="B15" s="56" t="s">
        <v>14</v>
      </c>
      <c r="C15" s="69">
        <v>26815.44</v>
      </c>
      <c r="D15" s="1"/>
      <c r="E15" s="1"/>
      <c r="F15" s="36"/>
      <c r="G15" s="36"/>
    </row>
    <row r="16" spans="1:7" ht="15.75">
      <c r="A16" s="55">
        <v>11</v>
      </c>
      <c r="B16" s="56" t="s">
        <v>15</v>
      </c>
      <c r="C16" s="69">
        <v>21515.53</v>
      </c>
      <c r="D16" s="1"/>
      <c r="E16" s="1"/>
      <c r="F16" s="36"/>
      <c r="G16" s="36"/>
    </row>
    <row r="17" spans="1:7" ht="15.75">
      <c r="A17" s="55">
        <v>12</v>
      </c>
      <c r="B17" s="56" t="s">
        <v>16</v>
      </c>
      <c r="C17" s="69">
        <v>3104.76</v>
      </c>
      <c r="D17" s="1"/>
      <c r="E17" s="1"/>
      <c r="F17" s="36"/>
      <c r="G17" s="36"/>
    </row>
    <row r="18" spans="1:7" ht="15.75">
      <c r="A18" s="55">
        <v>13</v>
      </c>
      <c r="B18" s="56" t="s">
        <v>17</v>
      </c>
      <c r="C18" s="69">
        <v>20750.51</v>
      </c>
      <c r="D18" s="1"/>
      <c r="E18" s="1"/>
      <c r="F18" s="36"/>
      <c r="G18" s="36"/>
    </row>
    <row r="19" spans="1:7" ht="15.75">
      <c r="A19" s="55">
        <v>14</v>
      </c>
      <c r="B19" s="56" t="s">
        <v>18</v>
      </c>
      <c r="C19" s="69">
        <v>502.84</v>
      </c>
      <c r="D19" s="1"/>
      <c r="E19" s="1"/>
      <c r="F19" s="36"/>
      <c r="G19" s="36"/>
    </row>
    <row r="20" spans="1:7" ht="15.75">
      <c r="A20" s="55">
        <v>15</v>
      </c>
      <c r="B20" s="56" t="s">
        <v>19</v>
      </c>
      <c r="C20" s="69"/>
      <c r="D20" s="1"/>
      <c r="E20" s="1"/>
      <c r="F20" s="36"/>
      <c r="G20" s="36"/>
    </row>
    <row r="21" spans="1:7" ht="15.75">
      <c r="A21" s="55">
        <v>16</v>
      </c>
      <c r="B21" s="56" t="s">
        <v>20</v>
      </c>
      <c r="C21" s="69">
        <v>968.41</v>
      </c>
      <c r="D21" s="1"/>
      <c r="E21" s="1"/>
      <c r="F21" s="36"/>
      <c r="G21" s="36"/>
    </row>
    <row r="22" spans="1:7" ht="15.75">
      <c r="A22" s="55">
        <v>17</v>
      </c>
      <c r="B22" s="56" t="s">
        <v>21</v>
      </c>
      <c r="C22" s="69">
        <v>9158.87</v>
      </c>
      <c r="D22" s="1"/>
      <c r="E22" s="1"/>
      <c r="F22" s="36"/>
      <c r="G22" s="36"/>
    </row>
    <row r="23" spans="1:7" ht="15.75">
      <c r="A23" s="55">
        <v>18</v>
      </c>
      <c r="B23" s="56" t="s">
        <v>22</v>
      </c>
      <c r="C23" s="69">
        <v>25267.44</v>
      </c>
      <c r="D23" s="1"/>
      <c r="E23" s="1"/>
      <c r="F23" s="36"/>
      <c r="G23" s="36"/>
    </row>
    <row r="24" spans="1:7" ht="15.75">
      <c r="A24" s="55">
        <v>19</v>
      </c>
      <c r="B24" s="56" t="s">
        <v>23</v>
      </c>
      <c r="C24" s="69">
        <v>705.7</v>
      </c>
      <c r="D24" s="1"/>
      <c r="E24" s="1"/>
      <c r="F24" s="36"/>
      <c r="G24" s="36"/>
    </row>
    <row r="25" spans="1:7" ht="15.75">
      <c r="A25" s="55">
        <v>20</v>
      </c>
      <c r="B25" s="56" t="s">
        <v>24</v>
      </c>
      <c r="C25" s="69">
        <v>1777.96</v>
      </c>
      <c r="D25" s="1"/>
      <c r="E25" s="1"/>
      <c r="F25" s="36"/>
      <c r="G25" s="36"/>
    </row>
    <row r="26" spans="1:7" ht="15.75">
      <c r="A26" s="55">
        <v>21</v>
      </c>
      <c r="B26" s="56" t="s">
        <v>25</v>
      </c>
      <c r="C26" s="69">
        <v>13744.94</v>
      </c>
      <c r="D26" s="1"/>
      <c r="E26" s="1"/>
      <c r="F26" s="36"/>
      <c r="G26" s="36"/>
    </row>
    <row r="27" spans="1:7" ht="15.75">
      <c r="A27" s="55">
        <v>22</v>
      </c>
      <c r="B27" s="56" t="s">
        <v>26</v>
      </c>
      <c r="C27" s="69">
        <v>9990.28</v>
      </c>
      <c r="D27" s="1"/>
      <c r="E27" s="1"/>
      <c r="F27" s="36"/>
      <c r="G27" s="36"/>
    </row>
    <row r="28" spans="1:7" ht="15.75">
      <c r="A28" s="55">
        <v>23</v>
      </c>
      <c r="B28" s="56" t="s">
        <v>27</v>
      </c>
      <c r="C28" s="69">
        <v>5259.94</v>
      </c>
      <c r="D28" s="1"/>
      <c r="E28" s="1"/>
      <c r="F28" s="36"/>
      <c r="G28" s="36"/>
    </row>
    <row r="29" spans="1:7" ht="15.75">
      <c r="A29" s="55">
        <v>24</v>
      </c>
      <c r="B29" s="56" t="s">
        <v>28</v>
      </c>
      <c r="C29" s="69">
        <v>3470.26</v>
      </c>
      <c r="D29" s="1"/>
      <c r="E29" s="1"/>
      <c r="F29" s="36"/>
      <c r="G29" s="36"/>
    </row>
    <row r="30" spans="1:7" ht="15.75">
      <c r="A30" s="55">
        <v>25</v>
      </c>
      <c r="B30" s="56" t="s">
        <v>29</v>
      </c>
      <c r="C30" s="69">
        <v>17244.56</v>
      </c>
      <c r="D30" s="1"/>
      <c r="E30" s="1"/>
      <c r="F30" s="36"/>
      <c r="G30" s="36"/>
    </row>
    <row r="31" spans="1:7" ht="15.75">
      <c r="A31" s="55">
        <v>26</v>
      </c>
      <c r="B31" s="56" t="s">
        <v>30</v>
      </c>
      <c r="C31" s="69">
        <v>14729.96</v>
      </c>
      <c r="D31" s="1"/>
      <c r="E31" s="1"/>
      <c r="F31" s="36"/>
      <c r="G31" s="36"/>
    </row>
    <row r="32" spans="1:7" ht="15.75">
      <c r="A32" s="55">
        <v>27</v>
      </c>
      <c r="B32" s="56" t="s">
        <v>40</v>
      </c>
      <c r="C32" s="69">
        <v>92.58</v>
      </c>
      <c r="D32" s="1"/>
      <c r="E32" s="1"/>
      <c r="F32" s="36"/>
      <c r="G32" s="36"/>
    </row>
    <row r="33" spans="1:7" ht="15.75">
      <c r="A33" s="55">
        <v>28</v>
      </c>
      <c r="B33" s="56" t="s">
        <v>41</v>
      </c>
      <c r="C33" s="69">
        <v>10029.71</v>
      </c>
      <c r="D33" s="1"/>
      <c r="E33" s="1"/>
      <c r="F33" s="36"/>
      <c r="G33" s="36"/>
    </row>
    <row r="34" spans="1:7" ht="15.75">
      <c r="A34" s="55">
        <v>29</v>
      </c>
      <c r="B34" s="56" t="s">
        <v>42</v>
      </c>
      <c r="C34" s="69">
        <v>10215.79</v>
      </c>
      <c r="D34" s="1"/>
      <c r="E34" s="1"/>
      <c r="F34" s="36"/>
      <c r="G34" s="36"/>
    </row>
    <row r="35" spans="1:7" ht="15.75">
      <c r="A35" s="55">
        <v>30</v>
      </c>
      <c r="B35" s="56" t="s">
        <v>44</v>
      </c>
      <c r="C35" s="69">
        <v>347.97</v>
      </c>
      <c r="D35" s="1"/>
      <c r="E35" s="1"/>
      <c r="F35" s="36"/>
      <c r="G35" s="36"/>
    </row>
    <row r="36" spans="1:7" ht="15.75">
      <c r="A36" s="55">
        <v>31</v>
      </c>
      <c r="B36" s="56" t="s">
        <v>45</v>
      </c>
      <c r="C36" s="69"/>
      <c r="D36" s="1"/>
      <c r="E36" s="1"/>
      <c r="F36" s="36"/>
      <c r="G36" s="36"/>
    </row>
    <row r="37" spans="1:7" ht="15.75">
      <c r="A37" s="55">
        <v>32</v>
      </c>
      <c r="B37" s="56" t="s">
        <v>47</v>
      </c>
      <c r="C37" s="69">
        <v>533.47</v>
      </c>
      <c r="D37" s="1"/>
      <c r="E37" s="1"/>
      <c r="F37" s="36"/>
      <c r="G37" s="36"/>
    </row>
    <row r="38" spans="1:7" ht="15.75">
      <c r="A38" s="55">
        <v>33</v>
      </c>
      <c r="B38" s="56" t="s">
        <v>60</v>
      </c>
      <c r="C38" s="69">
        <v>69.43</v>
      </c>
      <c r="D38" s="1"/>
      <c r="E38" s="1"/>
      <c r="F38" s="36"/>
      <c r="G38" s="36"/>
    </row>
    <row r="39" spans="1:7" ht="15.75">
      <c r="A39" s="55">
        <v>34</v>
      </c>
      <c r="B39" s="56" t="s">
        <v>61</v>
      </c>
      <c r="C39" s="69">
        <v>2782.39</v>
      </c>
      <c r="D39" s="1"/>
      <c r="E39" s="1"/>
      <c r="F39" s="36"/>
      <c r="G39" s="36"/>
    </row>
    <row r="40" spans="1:7" ht="15.75">
      <c r="A40" s="55">
        <v>35</v>
      </c>
      <c r="B40" s="56" t="s">
        <v>71</v>
      </c>
      <c r="C40" s="69">
        <v>300.94</v>
      </c>
      <c r="D40" s="1"/>
      <c r="E40" s="1"/>
      <c r="F40" s="36"/>
      <c r="G40" s="36"/>
    </row>
    <row r="41" spans="1:7" ht="15.75">
      <c r="A41" s="57"/>
      <c r="B41" s="57" t="s">
        <v>31</v>
      </c>
      <c r="C41" s="7">
        <f>SUM(C6:C40)</f>
        <v>499195.45000000007</v>
      </c>
      <c r="D41" s="1"/>
      <c r="E41" s="1"/>
      <c r="F41" s="36"/>
      <c r="G41" s="36"/>
    </row>
    <row r="42" spans="1:7" ht="14.25">
      <c r="A42" s="36"/>
      <c r="B42" s="36"/>
      <c r="C42" s="38"/>
      <c r="D42" s="1"/>
      <c r="E42" s="1"/>
      <c r="F42" s="36"/>
      <c r="G42" s="36"/>
    </row>
    <row r="43" spans="1:7" ht="14.25">
      <c r="A43" s="36"/>
      <c r="B43" s="36"/>
      <c r="C43" s="38"/>
      <c r="D43" s="1"/>
      <c r="E43" s="36"/>
      <c r="F43" s="36"/>
      <c r="G43" s="36"/>
    </row>
    <row r="44" spans="3:4" ht="12.75">
      <c r="C44" s="3"/>
      <c r="D44" s="3"/>
    </row>
    <row r="45" spans="2:4" ht="12.75">
      <c r="B45" s="3"/>
      <c r="C45" s="3"/>
      <c r="D45" s="5"/>
    </row>
    <row r="46" spans="3:4" ht="12.75">
      <c r="C46" s="3"/>
      <c r="D46" s="3"/>
    </row>
    <row r="47" spans="3:4" ht="12.75">
      <c r="C47" s="3"/>
      <c r="D47" s="3"/>
    </row>
    <row r="49" spans="3:4" ht="12.75">
      <c r="C49" s="3"/>
      <c r="D49" s="3"/>
    </row>
    <row r="50" ht="12.75">
      <c r="D50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42"/>
  <sheetViews>
    <sheetView workbookViewId="0" topLeftCell="A1">
      <selection activeCell="A4" sqref="A4:H43"/>
    </sheetView>
  </sheetViews>
  <sheetFormatPr defaultColWidth="9.140625" defaultRowHeight="12.75"/>
  <cols>
    <col min="2" max="2" width="31.57421875" style="0" customWidth="1"/>
    <col min="3" max="3" width="13.7109375" style="0" customWidth="1"/>
  </cols>
  <sheetData>
    <row r="4" spans="1:8" ht="12.75" customHeight="1">
      <c r="A4" s="82" t="s">
        <v>84</v>
      </c>
      <c r="B4" s="82"/>
      <c r="C4" s="82"/>
      <c r="D4" s="82"/>
      <c r="E4" s="82"/>
      <c r="F4" s="82"/>
      <c r="G4" s="82"/>
      <c r="H4" s="82"/>
    </row>
    <row r="5" spans="1:8" ht="14.25">
      <c r="A5" s="36"/>
      <c r="B5" s="36"/>
      <c r="C5" s="36"/>
      <c r="D5" s="39"/>
      <c r="E5" s="36"/>
      <c r="F5" s="36"/>
      <c r="G5" s="36"/>
      <c r="H5" s="36"/>
    </row>
    <row r="6" spans="1:8" ht="30">
      <c r="A6" s="50" t="s">
        <v>0</v>
      </c>
      <c r="B6" s="51" t="s">
        <v>1</v>
      </c>
      <c r="C6" s="43" t="s">
        <v>65</v>
      </c>
      <c r="D6" s="39"/>
      <c r="E6" s="36"/>
      <c r="F6" s="36"/>
      <c r="G6" s="36"/>
      <c r="H6" s="36"/>
    </row>
    <row r="7" spans="1:8" ht="15.75">
      <c r="A7" s="55">
        <v>1</v>
      </c>
      <c r="B7" s="56" t="s">
        <v>6</v>
      </c>
      <c r="C7" s="6">
        <v>12746.28</v>
      </c>
      <c r="D7" s="36"/>
      <c r="E7" s="36"/>
      <c r="F7" s="36"/>
      <c r="G7" s="36"/>
      <c r="H7" s="36"/>
    </row>
    <row r="8" spans="1:8" ht="15.75">
      <c r="A8" s="55">
        <v>2</v>
      </c>
      <c r="B8" s="56" t="s">
        <v>7</v>
      </c>
      <c r="C8" s="6">
        <v>233.77</v>
      </c>
      <c r="D8" s="36"/>
      <c r="E8" s="36"/>
      <c r="F8" s="36"/>
      <c r="G8" s="36"/>
      <c r="H8" s="36"/>
    </row>
    <row r="9" spans="1:3" ht="15.75">
      <c r="A9" s="55">
        <v>3</v>
      </c>
      <c r="B9" s="56" t="s">
        <v>8</v>
      </c>
      <c r="C9" s="66"/>
    </row>
    <row r="10" spans="1:3" ht="15.75">
      <c r="A10" s="55">
        <v>4</v>
      </c>
      <c r="B10" s="56" t="s">
        <v>9</v>
      </c>
      <c r="C10" s="66">
        <v>385.5</v>
      </c>
    </row>
    <row r="11" spans="1:3" ht="15.75">
      <c r="A11" s="55">
        <v>5</v>
      </c>
      <c r="B11" s="56" t="s">
        <v>10</v>
      </c>
      <c r="C11" s="66">
        <v>852.39</v>
      </c>
    </row>
    <row r="12" spans="1:3" ht="15.75">
      <c r="A12" s="55">
        <v>6</v>
      </c>
      <c r="B12" s="56" t="s">
        <v>11</v>
      </c>
      <c r="C12" s="66">
        <v>5707.1</v>
      </c>
    </row>
    <row r="13" spans="1:3" ht="15.75">
      <c r="A13" s="55">
        <v>7</v>
      </c>
      <c r="B13" s="56" t="s">
        <v>59</v>
      </c>
      <c r="C13" s="66">
        <v>3663.9</v>
      </c>
    </row>
    <row r="14" spans="1:3" ht="15.75">
      <c r="A14" s="55">
        <v>8</v>
      </c>
      <c r="B14" s="56" t="s">
        <v>12</v>
      </c>
      <c r="C14" s="66">
        <v>23919.02</v>
      </c>
    </row>
    <row r="15" spans="1:3" ht="15.75">
      <c r="A15" s="55">
        <v>9</v>
      </c>
      <c r="B15" s="56" t="s">
        <v>13</v>
      </c>
      <c r="C15" s="66">
        <v>5303.18</v>
      </c>
    </row>
    <row r="16" spans="1:3" ht="15.75">
      <c r="A16" s="55">
        <v>10</v>
      </c>
      <c r="B16" s="56" t="s">
        <v>14</v>
      </c>
      <c r="C16" s="66">
        <v>15225.83</v>
      </c>
    </row>
    <row r="17" spans="1:3" ht="15.75">
      <c r="A17" s="55">
        <v>11</v>
      </c>
      <c r="B17" s="56" t="s">
        <v>15</v>
      </c>
      <c r="C17" s="66">
        <v>4798.06</v>
      </c>
    </row>
    <row r="18" spans="1:3" ht="15.75">
      <c r="A18" s="55">
        <v>12</v>
      </c>
      <c r="B18" s="56" t="s">
        <v>16</v>
      </c>
      <c r="C18" s="66">
        <v>5806.72</v>
      </c>
    </row>
    <row r="19" spans="1:3" ht="15.75">
      <c r="A19" s="55">
        <v>13</v>
      </c>
      <c r="B19" s="56" t="s">
        <v>17</v>
      </c>
      <c r="C19" s="66">
        <v>6063.54</v>
      </c>
    </row>
    <row r="20" spans="1:3" ht="15.75">
      <c r="A20" s="55">
        <v>14</v>
      </c>
      <c r="B20" s="56" t="s">
        <v>18</v>
      </c>
      <c r="C20" s="66"/>
    </row>
    <row r="21" spans="1:3" ht="15.75">
      <c r="A21" s="55">
        <v>15</v>
      </c>
      <c r="B21" s="56" t="s">
        <v>19</v>
      </c>
      <c r="C21" s="66"/>
    </row>
    <row r="22" spans="1:3" ht="15.75">
      <c r="A22" s="55">
        <v>16</v>
      </c>
      <c r="B22" s="56" t="s">
        <v>20</v>
      </c>
      <c r="C22" s="66"/>
    </row>
    <row r="23" spans="1:3" ht="15.75">
      <c r="A23" s="55">
        <v>17</v>
      </c>
      <c r="B23" s="56" t="s">
        <v>21</v>
      </c>
      <c r="C23" s="66">
        <v>5104.04</v>
      </c>
    </row>
    <row r="24" spans="1:3" ht="15.75">
      <c r="A24" s="55">
        <v>18</v>
      </c>
      <c r="B24" s="56" t="s">
        <v>22</v>
      </c>
      <c r="C24" s="66">
        <v>5632.09</v>
      </c>
    </row>
    <row r="25" spans="1:3" ht="15.75">
      <c r="A25" s="55">
        <v>19</v>
      </c>
      <c r="B25" s="56" t="s">
        <v>23</v>
      </c>
      <c r="C25" s="66"/>
    </row>
    <row r="26" spans="1:3" ht="15.75">
      <c r="A26" s="55">
        <v>20</v>
      </c>
      <c r="B26" s="56" t="s">
        <v>24</v>
      </c>
      <c r="C26" s="66"/>
    </row>
    <row r="27" spans="1:3" ht="15.75">
      <c r="A27" s="55">
        <v>21</v>
      </c>
      <c r="B27" s="56" t="s">
        <v>25</v>
      </c>
      <c r="C27" s="66">
        <v>5198.59</v>
      </c>
    </row>
    <row r="28" spans="1:3" ht="15.75">
      <c r="A28" s="55">
        <v>22</v>
      </c>
      <c r="B28" s="56" t="s">
        <v>26</v>
      </c>
      <c r="C28" s="66">
        <v>3638.17</v>
      </c>
    </row>
    <row r="29" spans="1:3" ht="15.75">
      <c r="A29" s="55">
        <v>23</v>
      </c>
      <c r="B29" s="56" t="s">
        <v>27</v>
      </c>
      <c r="C29" s="66">
        <v>2891.06</v>
      </c>
    </row>
    <row r="30" spans="1:3" ht="15.75">
      <c r="A30" s="55">
        <v>24</v>
      </c>
      <c r="B30" s="56" t="s">
        <v>28</v>
      </c>
      <c r="C30" s="66"/>
    </row>
    <row r="31" spans="1:3" ht="15.75">
      <c r="A31" s="55">
        <v>25</v>
      </c>
      <c r="B31" s="56" t="s">
        <v>29</v>
      </c>
      <c r="C31" s="66">
        <v>9132.82</v>
      </c>
    </row>
    <row r="32" spans="1:3" ht="15.75">
      <c r="A32" s="55">
        <v>26</v>
      </c>
      <c r="B32" s="56" t="s">
        <v>30</v>
      </c>
      <c r="C32" s="66"/>
    </row>
    <row r="33" spans="1:3" ht="15.75">
      <c r="A33" s="55">
        <v>27</v>
      </c>
      <c r="B33" s="56" t="s">
        <v>40</v>
      </c>
      <c r="C33" s="66"/>
    </row>
    <row r="34" spans="1:3" ht="15.75">
      <c r="A34" s="55">
        <v>28</v>
      </c>
      <c r="B34" s="56" t="s">
        <v>41</v>
      </c>
      <c r="C34" s="66">
        <v>5966.54</v>
      </c>
    </row>
    <row r="35" spans="1:3" ht="15.75">
      <c r="A35" s="55">
        <v>29</v>
      </c>
      <c r="B35" s="56" t="s">
        <v>42</v>
      </c>
      <c r="C35" s="66">
        <v>280.52</v>
      </c>
    </row>
    <row r="36" spans="1:3" ht="15.75">
      <c r="A36" s="55">
        <v>30</v>
      </c>
      <c r="B36" s="56" t="s">
        <v>44</v>
      </c>
      <c r="C36" s="66"/>
    </row>
    <row r="37" spans="1:3" ht="15.75">
      <c r="A37" s="55">
        <v>31</v>
      </c>
      <c r="B37" s="56" t="s">
        <v>45</v>
      </c>
      <c r="C37" s="66"/>
    </row>
    <row r="38" spans="1:3" ht="15.75">
      <c r="A38" s="55">
        <v>32</v>
      </c>
      <c r="B38" s="56" t="s">
        <v>47</v>
      </c>
      <c r="C38" s="66"/>
    </row>
    <row r="39" spans="1:3" ht="15.75">
      <c r="A39" s="55">
        <v>33</v>
      </c>
      <c r="B39" s="56" t="s">
        <v>60</v>
      </c>
      <c r="C39" s="66"/>
    </row>
    <row r="40" spans="1:3" ht="15.75">
      <c r="A40" s="55">
        <v>34</v>
      </c>
      <c r="B40" s="56" t="s">
        <v>61</v>
      </c>
      <c r="C40" s="66">
        <v>1497.08</v>
      </c>
    </row>
    <row r="41" spans="1:3" ht="15.75">
      <c r="A41" s="55">
        <v>35</v>
      </c>
      <c r="B41" s="56" t="s">
        <v>71</v>
      </c>
      <c r="C41" s="66"/>
    </row>
    <row r="42" spans="1:3" ht="15.75">
      <c r="A42" s="57"/>
      <c r="B42" s="57" t="s">
        <v>31</v>
      </c>
      <c r="C42" s="67">
        <f>SUM(C7:C41)</f>
        <v>124046.19999999997</v>
      </c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43"/>
  <sheetViews>
    <sheetView workbookViewId="0" topLeftCell="A1">
      <selection activeCell="A3" sqref="A3:G42"/>
    </sheetView>
  </sheetViews>
  <sheetFormatPr defaultColWidth="9.140625" defaultRowHeight="12.75"/>
  <cols>
    <col min="2" max="2" width="31.28125" style="0" customWidth="1"/>
    <col min="3" max="3" width="13.7109375" style="0" customWidth="1"/>
    <col min="4" max="4" width="13.140625" style="0" bestFit="1" customWidth="1"/>
    <col min="5" max="5" width="16.140625" style="0" bestFit="1" customWidth="1"/>
  </cols>
  <sheetData>
    <row r="3" spans="1:7" ht="12.75" customHeight="1">
      <c r="A3" s="82" t="s">
        <v>85</v>
      </c>
      <c r="B3" s="82"/>
      <c r="C3" s="82"/>
      <c r="D3" s="82"/>
      <c r="E3" s="82"/>
      <c r="F3" s="82"/>
      <c r="G3" s="82"/>
    </row>
    <row r="4" spans="1:7" ht="15">
      <c r="A4" s="83"/>
      <c r="B4" s="83"/>
      <c r="C4" s="41" t="s">
        <v>36</v>
      </c>
      <c r="D4" s="1"/>
      <c r="E4" s="36"/>
      <c r="F4" s="36"/>
      <c r="G4" s="36"/>
    </row>
    <row r="5" spans="1:7" ht="15.75">
      <c r="A5" s="50" t="s">
        <v>0</v>
      </c>
      <c r="B5" s="51" t="s">
        <v>1</v>
      </c>
      <c r="C5" s="42" t="s">
        <v>37</v>
      </c>
      <c r="D5" s="42" t="s">
        <v>38</v>
      </c>
      <c r="E5" s="43" t="s">
        <v>39</v>
      </c>
      <c r="F5" s="36"/>
      <c r="G5" s="36"/>
    </row>
    <row r="6" spans="1:7" ht="15.75">
      <c r="A6" s="55">
        <v>1</v>
      </c>
      <c r="B6" s="56" t="s">
        <v>6</v>
      </c>
      <c r="C6" s="6">
        <v>17520.88</v>
      </c>
      <c r="D6" s="6">
        <v>38288.16</v>
      </c>
      <c r="E6" s="7">
        <f>C6+D6</f>
        <v>55809.04000000001</v>
      </c>
      <c r="F6" s="36"/>
      <c r="G6" s="36"/>
    </row>
    <row r="7" spans="1:7" ht="15.75">
      <c r="A7" s="55">
        <v>2</v>
      </c>
      <c r="B7" s="56" t="s">
        <v>7</v>
      </c>
      <c r="C7" s="6">
        <f>4550.22+1552.38</f>
        <v>6102.6</v>
      </c>
      <c r="D7" s="6">
        <f>6991.88+2384.44</f>
        <v>9376.32</v>
      </c>
      <c r="E7" s="7">
        <f aca="true" t="shared" si="0" ref="E7:E40">C7+D7</f>
        <v>15478.92</v>
      </c>
      <c r="F7" s="36"/>
      <c r="G7" s="36"/>
    </row>
    <row r="8" spans="1:7" ht="15.75">
      <c r="A8" s="55">
        <v>3</v>
      </c>
      <c r="B8" s="56" t="s">
        <v>8</v>
      </c>
      <c r="C8" s="6">
        <v>449.91</v>
      </c>
      <c r="D8" s="6">
        <v>551.38</v>
      </c>
      <c r="E8" s="7">
        <f t="shared" si="0"/>
        <v>1001.29</v>
      </c>
      <c r="F8" s="36"/>
      <c r="G8" s="36"/>
    </row>
    <row r="9" spans="1:7" ht="15.75">
      <c r="A9" s="55">
        <v>4</v>
      </c>
      <c r="B9" s="56" t="s">
        <v>9</v>
      </c>
      <c r="C9" s="6">
        <v>1284.25</v>
      </c>
      <c r="D9" s="6">
        <v>1871.22</v>
      </c>
      <c r="E9" s="7">
        <f t="shared" si="0"/>
        <v>3155.4700000000003</v>
      </c>
      <c r="F9" s="36"/>
      <c r="G9" s="36"/>
    </row>
    <row r="10" spans="1:7" ht="15.75">
      <c r="A10" s="55">
        <v>5</v>
      </c>
      <c r="B10" s="56" t="s">
        <v>10</v>
      </c>
      <c r="C10" s="6">
        <f>8091.38+199.96</f>
        <v>8291.34</v>
      </c>
      <c r="D10" s="6">
        <f>11857.91+1125.2</f>
        <v>12983.11</v>
      </c>
      <c r="E10" s="7">
        <f t="shared" si="0"/>
        <v>21274.45</v>
      </c>
      <c r="F10" s="36"/>
      <c r="G10" s="36"/>
    </row>
    <row r="11" spans="1:7" ht="15.75">
      <c r="A11" s="55">
        <v>6</v>
      </c>
      <c r="B11" s="56" t="s">
        <v>11</v>
      </c>
      <c r="C11" s="6">
        <f>19781.43+9643.88+6899.76</f>
        <v>36325.07</v>
      </c>
      <c r="D11" s="6">
        <f>31906.22+13810.6+14775.99</f>
        <v>60492.81</v>
      </c>
      <c r="E11" s="7">
        <f t="shared" si="0"/>
        <v>96817.88</v>
      </c>
      <c r="F11" s="36"/>
      <c r="G11" s="36"/>
    </row>
    <row r="12" spans="1:7" ht="15.75">
      <c r="A12" s="55">
        <v>7</v>
      </c>
      <c r="B12" s="56" t="s">
        <v>59</v>
      </c>
      <c r="C12" s="6">
        <f>200.61+6158.16+326.68+2186.33+3643.69+399.71+46.29</f>
        <v>12961.47</v>
      </c>
      <c r="D12" s="6">
        <f>2154.14+7561.31+826.02+2004.97+2764.12+569.82+187.02</f>
        <v>16067.400000000001</v>
      </c>
      <c r="E12" s="7">
        <f t="shared" si="0"/>
        <v>29028.870000000003</v>
      </c>
      <c r="F12" s="36"/>
      <c r="G12" s="36"/>
    </row>
    <row r="13" spans="1:7" ht="15.75">
      <c r="A13" s="55">
        <v>8</v>
      </c>
      <c r="B13" s="56" t="s">
        <v>12</v>
      </c>
      <c r="C13" s="6">
        <v>46768.71</v>
      </c>
      <c r="D13" s="6">
        <v>75283.84</v>
      </c>
      <c r="E13" s="7">
        <f t="shared" si="0"/>
        <v>122052.54999999999</v>
      </c>
      <c r="F13" s="36"/>
      <c r="G13" s="36"/>
    </row>
    <row r="14" spans="1:7" ht="15.75">
      <c r="A14" s="55">
        <v>9</v>
      </c>
      <c r="B14" s="56" t="s">
        <v>13</v>
      </c>
      <c r="C14" s="6">
        <f>12643.87+3462.07</f>
        <v>16105.94</v>
      </c>
      <c r="D14" s="6">
        <f>23410.99+3707.66</f>
        <v>27118.65</v>
      </c>
      <c r="E14" s="7">
        <f t="shared" si="0"/>
        <v>43224.590000000004</v>
      </c>
      <c r="F14" s="36"/>
      <c r="G14" s="36"/>
    </row>
    <row r="15" spans="1:7" ht="15.75">
      <c r="A15" s="55">
        <v>10</v>
      </c>
      <c r="B15" s="56" t="s">
        <v>14</v>
      </c>
      <c r="C15" s="6">
        <f>8382.52+3420+1523.5</f>
        <v>13326.02</v>
      </c>
      <c r="D15" s="6">
        <f>14851.13+4354.38+6409.82</f>
        <v>25615.329999999998</v>
      </c>
      <c r="E15" s="7">
        <f t="shared" si="0"/>
        <v>38941.35</v>
      </c>
      <c r="F15" s="36"/>
      <c r="G15" s="36"/>
    </row>
    <row r="16" spans="1:7" ht="15.75">
      <c r="A16" s="55">
        <v>11</v>
      </c>
      <c r="B16" s="56" t="s">
        <v>15</v>
      </c>
      <c r="C16" s="6">
        <v>9217.45</v>
      </c>
      <c r="D16" s="6">
        <v>16178.08</v>
      </c>
      <c r="E16" s="7">
        <f t="shared" si="0"/>
        <v>25395.53</v>
      </c>
      <c r="F16" s="36"/>
      <c r="G16" s="36"/>
    </row>
    <row r="17" spans="1:7" ht="15.75">
      <c r="A17" s="55">
        <v>12</v>
      </c>
      <c r="B17" s="56" t="s">
        <v>16</v>
      </c>
      <c r="C17" s="6">
        <v>1956.43</v>
      </c>
      <c r="D17" s="6">
        <v>2724.2</v>
      </c>
      <c r="E17" s="7">
        <f t="shared" si="0"/>
        <v>4680.63</v>
      </c>
      <c r="F17" s="36"/>
      <c r="G17" s="36"/>
    </row>
    <row r="18" spans="1:7" ht="15.75">
      <c r="A18" s="55">
        <v>13</v>
      </c>
      <c r="B18" s="56" t="s">
        <v>17</v>
      </c>
      <c r="C18" s="6">
        <v>5160.21</v>
      </c>
      <c r="D18" s="6">
        <v>19447.81</v>
      </c>
      <c r="E18" s="7">
        <f t="shared" si="0"/>
        <v>24608.02</v>
      </c>
      <c r="F18" s="36"/>
      <c r="G18" s="36"/>
    </row>
    <row r="19" spans="1:7" ht="15.75">
      <c r="A19" s="55">
        <v>14</v>
      </c>
      <c r="B19" s="56" t="s">
        <v>18</v>
      </c>
      <c r="C19" s="6"/>
      <c r="D19" s="6"/>
      <c r="E19" s="7">
        <f t="shared" si="0"/>
        <v>0</v>
      </c>
      <c r="F19" s="36"/>
      <c r="G19" s="36"/>
    </row>
    <row r="20" spans="1:7" ht="15.75">
      <c r="A20" s="55">
        <v>15</v>
      </c>
      <c r="B20" s="56" t="s">
        <v>19</v>
      </c>
      <c r="C20" s="6"/>
      <c r="D20" s="6"/>
      <c r="E20" s="7">
        <f t="shared" si="0"/>
        <v>0</v>
      </c>
      <c r="F20" s="36"/>
      <c r="G20" s="36"/>
    </row>
    <row r="21" spans="1:7" ht="15.75">
      <c r="A21" s="55">
        <v>16</v>
      </c>
      <c r="B21" s="56" t="s">
        <v>20</v>
      </c>
      <c r="C21" s="6">
        <v>149.97</v>
      </c>
      <c r="D21" s="6">
        <v>467.54</v>
      </c>
      <c r="E21" s="7">
        <f t="shared" si="0"/>
        <v>617.51</v>
      </c>
      <c r="F21" s="36"/>
      <c r="G21" s="36"/>
    </row>
    <row r="22" spans="1:7" ht="15.75">
      <c r="A22" s="55">
        <v>17</v>
      </c>
      <c r="B22" s="56" t="s">
        <v>21</v>
      </c>
      <c r="C22" s="6">
        <v>2662.19</v>
      </c>
      <c r="D22" s="6">
        <v>8651.95</v>
      </c>
      <c r="E22" s="7">
        <f t="shared" si="0"/>
        <v>11314.140000000001</v>
      </c>
      <c r="F22" s="36"/>
      <c r="G22" s="36"/>
    </row>
    <row r="23" spans="1:7" ht="15.75">
      <c r="A23" s="55">
        <v>18</v>
      </c>
      <c r="B23" s="56" t="s">
        <v>22</v>
      </c>
      <c r="C23" s="6">
        <f>1465.91+475.93+3484.78+296.24</f>
        <v>5722.860000000001</v>
      </c>
      <c r="D23" s="6">
        <f>3936.97+1740.61+7537.39+467.54</f>
        <v>13682.510000000002</v>
      </c>
      <c r="E23" s="7">
        <f t="shared" si="0"/>
        <v>19405.370000000003</v>
      </c>
      <c r="F23" s="36"/>
      <c r="G23" s="36"/>
    </row>
    <row r="24" spans="1:7" ht="15.75">
      <c r="A24" s="55">
        <v>19</v>
      </c>
      <c r="B24" s="56" t="s">
        <v>23</v>
      </c>
      <c r="C24" s="6">
        <v>218.43</v>
      </c>
      <c r="D24" s="6">
        <v>1682.12</v>
      </c>
      <c r="E24" s="7">
        <f t="shared" si="0"/>
        <v>1900.55</v>
      </c>
      <c r="F24" s="36"/>
      <c r="G24" s="36"/>
    </row>
    <row r="25" spans="1:7" ht="15.75">
      <c r="A25" s="55">
        <v>20</v>
      </c>
      <c r="B25" s="56" t="s">
        <v>24</v>
      </c>
      <c r="C25" s="6">
        <v>1393.47</v>
      </c>
      <c r="D25" s="6">
        <v>654.56</v>
      </c>
      <c r="E25" s="7">
        <f t="shared" si="0"/>
        <v>2048.0299999999997</v>
      </c>
      <c r="F25" s="36"/>
      <c r="G25" s="36"/>
    </row>
    <row r="26" spans="1:7" ht="15.75">
      <c r="A26" s="55">
        <v>21</v>
      </c>
      <c r="B26" s="56" t="s">
        <v>25</v>
      </c>
      <c r="C26" s="6">
        <f>5912.56+1756.61+317.75</f>
        <v>7986.92</v>
      </c>
      <c r="D26" s="6">
        <f>5532.15+1803.64+1075.45</f>
        <v>8411.24</v>
      </c>
      <c r="E26" s="7">
        <f t="shared" si="0"/>
        <v>16398.16</v>
      </c>
      <c r="F26" s="36"/>
      <c r="G26" s="36"/>
    </row>
    <row r="27" spans="1:7" ht="15.75">
      <c r="A27" s="55">
        <v>22</v>
      </c>
      <c r="B27" s="56" t="s">
        <v>26</v>
      </c>
      <c r="C27" s="6">
        <v>8680.49</v>
      </c>
      <c r="D27" s="6">
        <v>10805.06</v>
      </c>
      <c r="E27" s="7">
        <f t="shared" si="0"/>
        <v>19485.55</v>
      </c>
      <c r="F27" s="36"/>
      <c r="G27" s="36"/>
    </row>
    <row r="28" spans="1:7" ht="15.75">
      <c r="A28" s="55">
        <v>23</v>
      </c>
      <c r="B28" s="56" t="s">
        <v>27</v>
      </c>
      <c r="C28" s="6">
        <f>1969.77+36.94</f>
        <v>2006.71</v>
      </c>
      <c r="D28" s="6">
        <f>3883.53+512.84</f>
        <v>4396.37</v>
      </c>
      <c r="E28" s="7">
        <f t="shared" si="0"/>
        <v>6403.08</v>
      </c>
      <c r="F28" s="36"/>
      <c r="G28" s="36"/>
    </row>
    <row r="29" spans="1:7" ht="15.75">
      <c r="A29" s="55">
        <v>24</v>
      </c>
      <c r="B29" s="56" t="s">
        <v>28</v>
      </c>
      <c r="C29" s="6"/>
      <c r="D29" s="6"/>
      <c r="E29" s="7">
        <f t="shared" si="0"/>
        <v>0</v>
      </c>
      <c r="F29" s="36"/>
      <c r="G29" s="36"/>
    </row>
    <row r="30" spans="1:7" ht="15.75">
      <c r="A30" s="55">
        <v>25</v>
      </c>
      <c r="B30" s="56" t="s">
        <v>29</v>
      </c>
      <c r="C30" s="6">
        <f>2715.4+4332.46+4094.11</f>
        <v>11141.970000000001</v>
      </c>
      <c r="D30" s="6">
        <f>7311.74+6663.71+8019.39</f>
        <v>21994.84</v>
      </c>
      <c r="E30" s="7">
        <f t="shared" si="0"/>
        <v>33136.81</v>
      </c>
      <c r="F30" s="36"/>
      <c r="G30" s="36"/>
    </row>
    <row r="31" spans="1:7" ht="15.75">
      <c r="A31" s="55">
        <v>26</v>
      </c>
      <c r="B31" s="56" t="s">
        <v>30</v>
      </c>
      <c r="C31" s="6"/>
      <c r="D31" s="6"/>
      <c r="E31" s="7">
        <f t="shared" si="0"/>
        <v>0</v>
      </c>
      <c r="F31" s="36"/>
      <c r="G31" s="36"/>
    </row>
    <row r="32" spans="1:7" ht="15.75">
      <c r="A32" s="55">
        <v>27</v>
      </c>
      <c r="B32" s="56" t="s">
        <v>40</v>
      </c>
      <c r="C32" s="6">
        <v>106.5</v>
      </c>
      <c r="D32" s="6">
        <v>841.57</v>
      </c>
      <c r="E32" s="7">
        <f t="shared" si="0"/>
        <v>948.07</v>
      </c>
      <c r="F32" s="36"/>
      <c r="G32" s="36"/>
    </row>
    <row r="33" spans="1:7" ht="15.75">
      <c r="A33" s="55">
        <v>28</v>
      </c>
      <c r="B33" s="56" t="s">
        <v>41</v>
      </c>
      <c r="C33" s="6">
        <f>1647.54+185.62+1660.03</f>
        <v>3493.1899999999996</v>
      </c>
      <c r="D33" s="6">
        <f>6640.63+868.84+2478.79</f>
        <v>9988.26</v>
      </c>
      <c r="E33" s="7">
        <f t="shared" si="0"/>
        <v>13481.45</v>
      </c>
      <c r="F33" s="36"/>
      <c r="G33" s="36"/>
    </row>
    <row r="34" spans="1:7" ht="15.75">
      <c r="A34" s="55">
        <v>29</v>
      </c>
      <c r="B34" s="56" t="s">
        <v>42</v>
      </c>
      <c r="C34" s="6">
        <v>10799.1</v>
      </c>
      <c r="D34" s="6">
        <v>16896.27</v>
      </c>
      <c r="E34" s="7">
        <f t="shared" si="0"/>
        <v>27695.370000000003</v>
      </c>
      <c r="F34" s="36"/>
      <c r="G34" s="36"/>
    </row>
    <row r="35" spans="1:7" ht="15.75">
      <c r="A35" s="55">
        <v>30</v>
      </c>
      <c r="B35" s="56" t="s">
        <v>44</v>
      </c>
      <c r="C35" s="6"/>
      <c r="D35" s="6"/>
      <c r="E35" s="7">
        <f t="shared" si="0"/>
        <v>0</v>
      </c>
      <c r="F35" s="36"/>
      <c r="G35" s="36"/>
    </row>
    <row r="36" spans="1:7" ht="15.75">
      <c r="A36" s="55">
        <v>31</v>
      </c>
      <c r="B36" s="56" t="s">
        <v>45</v>
      </c>
      <c r="C36" s="6"/>
      <c r="D36" s="6"/>
      <c r="E36" s="7">
        <f t="shared" si="0"/>
        <v>0</v>
      </c>
      <c r="F36" s="36"/>
      <c r="G36" s="36"/>
    </row>
    <row r="37" spans="1:7" ht="15.75">
      <c r="A37" s="55">
        <v>32</v>
      </c>
      <c r="B37" s="56" t="s">
        <v>47</v>
      </c>
      <c r="C37" s="6"/>
      <c r="D37" s="6"/>
      <c r="E37" s="7">
        <f t="shared" si="0"/>
        <v>0</v>
      </c>
      <c r="F37" s="36"/>
      <c r="G37" s="36"/>
    </row>
    <row r="38" spans="1:7" ht="15.75">
      <c r="A38" s="55">
        <v>33</v>
      </c>
      <c r="B38" s="56" t="s">
        <v>60</v>
      </c>
      <c r="C38" s="6">
        <v>299.94</v>
      </c>
      <c r="D38" s="6">
        <v>395.13</v>
      </c>
      <c r="E38" s="7">
        <f t="shared" si="0"/>
        <v>695.0699999999999</v>
      </c>
      <c r="F38" s="36"/>
      <c r="G38" s="36"/>
    </row>
    <row r="39" spans="1:7" ht="15.75">
      <c r="A39" s="55">
        <v>34</v>
      </c>
      <c r="B39" s="56" t="s">
        <v>61</v>
      </c>
      <c r="C39" s="6">
        <v>564.53</v>
      </c>
      <c r="D39" s="6">
        <v>2360.38</v>
      </c>
      <c r="E39" s="7">
        <f t="shared" si="0"/>
        <v>2924.91</v>
      </c>
      <c r="F39" s="36"/>
      <c r="G39" s="36"/>
    </row>
    <row r="40" spans="1:7" ht="15.75">
      <c r="A40" s="55">
        <v>35</v>
      </c>
      <c r="B40" s="56" t="s">
        <v>71</v>
      </c>
      <c r="C40" s="6">
        <v>51.19</v>
      </c>
      <c r="D40" s="6">
        <v>1470.67</v>
      </c>
      <c r="E40" s="7">
        <f t="shared" si="0"/>
        <v>1521.8600000000001</v>
      </c>
      <c r="F40" s="36"/>
      <c r="G40" s="36"/>
    </row>
    <row r="41" spans="1:7" ht="15.75">
      <c r="A41" s="57"/>
      <c r="B41" s="57" t="s">
        <v>31</v>
      </c>
      <c r="C41" s="6">
        <f>SUM(C6:C40)</f>
        <v>230747.74</v>
      </c>
      <c r="D41" s="6">
        <f>SUM(D6:D40)</f>
        <v>408696.78</v>
      </c>
      <c r="E41" s="7">
        <f>SUM(E6:E40)</f>
        <v>639444.5199999999</v>
      </c>
      <c r="F41" s="36"/>
      <c r="G41" s="36"/>
    </row>
    <row r="42" spans="1:7" ht="14.25">
      <c r="A42" s="36"/>
      <c r="B42" s="36"/>
      <c r="C42" s="36"/>
      <c r="D42" s="36"/>
      <c r="E42" s="1"/>
      <c r="F42" s="36"/>
      <c r="G42" s="36"/>
    </row>
    <row r="43" spans="1:7" ht="14.25">
      <c r="A43" s="36"/>
      <c r="B43" s="36"/>
      <c r="C43" s="36"/>
      <c r="D43" s="36"/>
      <c r="E43" s="36"/>
      <c r="F43" s="36"/>
      <c r="G43" s="36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41"/>
  <sheetViews>
    <sheetView workbookViewId="0" topLeftCell="A1">
      <selection activeCell="D6" sqref="D6:D40"/>
    </sheetView>
  </sheetViews>
  <sheetFormatPr defaultColWidth="9.140625" defaultRowHeight="12.75"/>
  <cols>
    <col min="2" max="2" width="32.140625" style="0" customWidth="1"/>
    <col min="3" max="3" width="14.421875" style="0" customWidth="1"/>
    <col min="4" max="4" width="13.421875" style="0" bestFit="1" customWidth="1"/>
  </cols>
  <sheetData>
    <row r="3" spans="1:6" ht="15">
      <c r="A3" s="81" t="s">
        <v>86</v>
      </c>
      <c r="B3" s="81"/>
      <c r="C3" s="81"/>
      <c r="D3" s="81"/>
      <c r="E3" s="81"/>
      <c r="F3" s="81"/>
    </row>
    <row r="4" spans="1:6" ht="15">
      <c r="A4" s="84"/>
      <c r="B4" s="84"/>
      <c r="C4" s="84"/>
      <c r="D4" s="84"/>
      <c r="E4" s="84"/>
      <c r="F4" s="36"/>
    </row>
    <row r="5" spans="1:6" ht="31.5">
      <c r="A5" s="50" t="s">
        <v>0</v>
      </c>
      <c r="B5" s="51" t="s">
        <v>1</v>
      </c>
      <c r="C5" s="51" t="s">
        <v>63</v>
      </c>
      <c r="D5" s="51" t="s">
        <v>64</v>
      </c>
      <c r="E5" s="36"/>
      <c r="F5" s="36"/>
    </row>
    <row r="6" spans="1:4" ht="15.75">
      <c r="A6" s="55">
        <v>1</v>
      </c>
      <c r="B6" s="56" t="s">
        <v>6</v>
      </c>
      <c r="C6" s="66">
        <v>9480</v>
      </c>
      <c r="D6" s="66">
        <v>1080</v>
      </c>
    </row>
    <row r="7" spans="1:4" ht="15.75">
      <c r="A7" s="55">
        <v>2</v>
      </c>
      <c r="B7" s="56" t="s">
        <v>7</v>
      </c>
      <c r="C7" s="66">
        <v>2040</v>
      </c>
      <c r="D7" s="66"/>
    </row>
    <row r="8" spans="1:4" ht="15.75">
      <c r="A8" s="55">
        <v>3</v>
      </c>
      <c r="B8" s="56" t="s">
        <v>8</v>
      </c>
      <c r="C8" s="66">
        <v>120</v>
      </c>
      <c r="D8" s="66"/>
    </row>
    <row r="9" spans="1:4" ht="15.75">
      <c r="A9" s="55">
        <v>4</v>
      </c>
      <c r="B9" s="56" t="s">
        <v>9</v>
      </c>
      <c r="C9" s="66">
        <v>480</v>
      </c>
      <c r="D9" s="66">
        <v>480</v>
      </c>
    </row>
    <row r="10" spans="1:4" ht="15.75">
      <c r="A10" s="55">
        <v>5</v>
      </c>
      <c r="B10" s="56" t="s">
        <v>10</v>
      </c>
      <c r="C10" s="66">
        <v>2280</v>
      </c>
      <c r="D10" s="66"/>
    </row>
    <row r="11" spans="1:4" ht="15.75">
      <c r="A11" s="55">
        <v>6</v>
      </c>
      <c r="B11" s="56" t="s">
        <v>11</v>
      </c>
      <c r="C11" s="66">
        <v>10200</v>
      </c>
      <c r="D11" s="66">
        <v>600</v>
      </c>
    </row>
    <row r="12" spans="1:4" ht="15.75">
      <c r="A12" s="55">
        <v>7</v>
      </c>
      <c r="B12" s="56" t="s">
        <v>59</v>
      </c>
      <c r="C12" s="66">
        <v>3360</v>
      </c>
      <c r="D12" s="66"/>
    </row>
    <row r="13" spans="1:4" ht="15.75">
      <c r="A13" s="55">
        <v>8</v>
      </c>
      <c r="B13" s="56" t="s">
        <v>12</v>
      </c>
      <c r="C13" s="66">
        <v>13920</v>
      </c>
      <c r="D13" s="66">
        <v>3960</v>
      </c>
    </row>
    <row r="14" spans="1:4" ht="15.75">
      <c r="A14" s="55">
        <v>9</v>
      </c>
      <c r="B14" s="56" t="s">
        <v>13</v>
      </c>
      <c r="C14" s="66">
        <v>4800</v>
      </c>
      <c r="D14" s="66"/>
    </row>
    <row r="15" spans="1:4" ht="15.75">
      <c r="A15" s="55">
        <v>10</v>
      </c>
      <c r="B15" s="56" t="s">
        <v>14</v>
      </c>
      <c r="C15" s="66">
        <v>6240</v>
      </c>
      <c r="D15" s="66"/>
    </row>
    <row r="16" spans="1:4" ht="15.75">
      <c r="A16" s="55">
        <v>11</v>
      </c>
      <c r="B16" s="56" t="s">
        <v>15</v>
      </c>
      <c r="C16" s="66">
        <v>3000</v>
      </c>
      <c r="D16" s="66"/>
    </row>
    <row r="17" spans="1:4" ht="15.75">
      <c r="A17" s="55">
        <v>12</v>
      </c>
      <c r="B17" s="56" t="s">
        <v>16</v>
      </c>
      <c r="C17" s="66">
        <v>1680</v>
      </c>
      <c r="D17" s="66"/>
    </row>
    <row r="18" spans="1:4" ht="15.75">
      <c r="A18" s="55">
        <v>13</v>
      </c>
      <c r="B18" s="56" t="s">
        <v>17</v>
      </c>
      <c r="C18" s="66">
        <v>4800</v>
      </c>
      <c r="D18" s="66">
        <v>480</v>
      </c>
    </row>
    <row r="19" spans="1:4" ht="15.75">
      <c r="A19" s="55">
        <v>14</v>
      </c>
      <c r="B19" s="56" t="s">
        <v>18</v>
      </c>
      <c r="C19" s="66"/>
      <c r="D19" s="66"/>
    </row>
    <row r="20" spans="1:4" ht="15.75">
      <c r="A20" s="55">
        <v>15</v>
      </c>
      <c r="B20" s="56" t="s">
        <v>19</v>
      </c>
      <c r="C20" s="66"/>
      <c r="D20" s="66"/>
    </row>
    <row r="21" spans="1:4" ht="15.75">
      <c r="A21" s="55">
        <v>16</v>
      </c>
      <c r="B21" s="56" t="s">
        <v>20</v>
      </c>
      <c r="C21" s="66">
        <v>120</v>
      </c>
      <c r="D21" s="66"/>
    </row>
    <row r="22" spans="1:4" ht="15.75">
      <c r="A22" s="55">
        <v>17</v>
      </c>
      <c r="B22" s="56" t="s">
        <v>21</v>
      </c>
      <c r="C22" s="66">
        <v>3000</v>
      </c>
      <c r="D22" s="66"/>
    </row>
    <row r="23" spans="1:4" ht="15.75">
      <c r="A23" s="55">
        <v>18</v>
      </c>
      <c r="B23" s="56" t="s">
        <v>22</v>
      </c>
      <c r="C23" s="66">
        <v>3240</v>
      </c>
      <c r="D23" s="66">
        <v>120</v>
      </c>
    </row>
    <row r="24" spans="1:4" ht="15.75">
      <c r="A24" s="55">
        <v>19</v>
      </c>
      <c r="B24" s="56" t="s">
        <v>23</v>
      </c>
      <c r="C24" s="66">
        <v>360</v>
      </c>
      <c r="D24" s="66"/>
    </row>
    <row r="25" spans="1:4" ht="15.75">
      <c r="A25" s="55">
        <v>20</v>
      </c>
      <c r="B25" s="56" t="s">
        <v>24</v>
      </c>
      <c r="C25" s="66">
        <v>120</v>
      </c>
      <c r="D25" s="66"/>
    </row>
    <row r="26" spans="1:4" ht="15.75">
      <c r="A26" s="55">
        <v>21</v>
      </c>
      <c r="B26" s="56" t="s">
        <v>25</v>
      </c>
      <c r="C26" s="66">
        <v>3000</v>
      </c>
      <c r="D26" s="66">
        <v>480</v>
      </c>
    </row>
    <row r="27" spans="1:4" ht="15.75">
      <c r="A27" s="55">
        <v>22</v>
      </c>
      <c r="B27" s="56" t="s">
        <v>26</v>
      </c>
      <c r="C27" s="66">
        <v>2880</v>
      </c>
      <c r="D27" s="66"/>
    </row>
    <row r="28" spans="1:4" ht="15.75">
      <c r="A28" s="55">
        <v>23</v>
      </c>
      <c r="B28" s="56" t="s">
        <v>27</v>
      </c>
      <c r="C28" s="66">
        <v>960</v>
      </c>
      <c r="D28" s="66"/>
    </row>
    <row r="29" spans="1:4" ht="15.75">
      <c r="A29" s="55">
        <v>24</v>
      </c>
      <c r="B29" s="56" t="s">
        <v>28</v>
      </c>
      <c r="C29" s="66"/>
      <c r="D29" s="66"/>
    </row>
    <row r="30" spans="1:4" ht="15.75">
      <c r="A30" s="55">
        <v>25</v>
      </c>
      <c r="B30" s="56" t="s">
        <v>29</v>
      </c>
      <c r="C30" s="66">
        <v>5520</v>
      </c>
      <c r="D30" s="66"/>
    </row>
    <row r="31" spans="1:4" ht="15.75">
      <c r="A31" s="55">
        <v>26</v>
      </c>
      <c r="B31" s="56" t="s">
        <v>30</v>
      </c>
      <c r="C31" s="66"/>
      <c r="D31" s="66"/>
    </row>
    <row r="32" spans="1:4" ht="15.75">
      <c r="A32" s="55">
        <v>27</v>
      </c>
      <c r="B32" s="56" t="s">
        <v>40</v>
      </c>
      <c r="C32" s="66">
        <v>120</v>
      </c>
      <c r="D32" s="66"/>
    </row>
    <row r="33" spans="1:4" ht="15.75">
      <c r="A33" s="55">
        <v>28</v>
      </c>
      <c r="B33" s="56" t="s">
        <v>41</v>
      </c>
      <c r="C33" s="66">
        <v>2520</v>
      </c>
      <c r="D33" s="66"/>
    </row>
    <row r="34" spans="1:4" ht="15.75">
      <c r="A34" s="55">
        <v>29</v>
      </c>
      <c r="B34" s="56" t="s">
        <v>42</v>
      </c>
      <c r="C34" s="66">
        <v>3120</v>
      </c>
      <c r="D34" s="66"/>
    </row>
    <row r="35" spans="1:4" ht="15.75">
      <c r="A35" s="55">
        <v>30</v>
      </c>
      <c r="B35" s="56" t="s">
        <v>44</v>
      </c>
      <c r="C35" s="66"/>
      <c r="D35" s="66"/>
    </row>
    <row r="36" spans="1:4" ht="15.75">
      <c r="A36" s="55">
        <v>31</v>
      </c>
      <c r="B36" s="56" t="s">
        <v>45</v>
      </c>
      <c r="C36" s="66"/>
      <c r="D36" s="66"/>
    </row>
    <row r="37" spans="1:4" ht="15.75">
      <c r="A37" s="55">
        <v>32</v>
      </c>
      <c r="B37" s="56" t="s">
        <v>47</v>
      </c>
      <c r="C37" s="66"/>
      <c r="D37" s="66"/>
    </row>
    <row r="38" spans="1:4" ht="15.75">
      <c r="A38" s="55">
        <v>33</v>
      </c>
      <c r="B38" s="56" t="s">
        <v>60</v>
      </c>
      <c r="C38" s="66">
        <v>240</v>
      </c>
      <c r="D38" s="66"/>
    </row>
    <row r="39" spans="1:4" ht="15.75">
      <c r="A39" s="55">
        <v>34</v>
      </c>
      <c r="B39" s="56" t="s">
        <v>61</v>
      </c>
      <c r="C39" s="66">
        <v>960</v>
      </c>
      <c r="D39" s="66"/>
    </row>
    <row r="40" spans="1:4" ht="15.75">
      <c r="A40" s="55">
        <v>35</v>
      </c>
      <c r="B40" s="56" t="s">
        <v>71</v>
      </c>
      <c r="C40" s="66">
        <v>120</v>
      </c>
      <c r="D40" s="66"/>
    </row>
    <row r="41" spans="1:4" ht="15.75">
      <c r="A41" s="57"/>
      <c r="B41" s="57" t="s">
        <v>31</v>
      </c>
      <c r="C41" s="67">
        <f>SUM(C6:C40)</f>
        <v>88680</v>
      </c>
      <c r="D41" s="67">
        <f>SUM(D6:D40)</f>
        <v>7200</v>
      </c>
    </row>
  </sheetData>
  <mergeCells count="2">
    <mergeCell ref="A4:E4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41"/>
  <sheetViews>
    <sheetView workbookViewId="0" topLeftCell="A1">
      <selection activeCell="C6" sqref="C6:C40"/>
    </sheetView>
  </sheetViews>
  <sheetFormatPr defaultColWidth="9.140625" defaultRowHeight="12.75"/>
  <cols>
    <col min="2" max="2" width="36.8515625" style="0" bestFit="1" customWidth="1"/>
    <col min="3" max="3" width="16.8515625" style="0" customWidth="1"/>
    <col min="9" max="9" width="16.57421875" style="0" customWidth="1"/>
  </cols>
  <sheetData>
    <row r="2" spans="1:5" ht="12.75">
      <c r="A2" s="60"/>
      <c r="B2" s="60"/>
      <c r="C2" s="60"/>
      <c r="D2" s="60"/>
      <c r="E2" s="60"/>
    </row>
    <row r="3" spans="1:5" ht="15">
      <c r="A3" s="61" t="s">
        <v>87</v>
      </c>
      <c r="B3" s="61"/>
      <c r="C3" s="61"/>
      <c r="D3" s="61"/>
      <c r="E3" s="61"/>
    </row>
    <row r="4" spans="1:5" ht="14.25">
      <c r="A4" s="36"/>
      <c r="B4" s="36"/>
      <c r="C4" s="36"/>
      <c r="D4" s="36"/>
      <c r="E4" s="36"/>
    </row>
    <row r="5" spans="1:5" ht="47.25">
      <c r="A5" s="50" t="s">
        <v>0</v>
      </c>
      <c r="B5" s="51" t="s">
        <v>1</v>
      </c>
      <c r="C5" s="51" t="s">
        <v>66</v>
      </c>
      <c r="D5" s="36"/>
      <c r="E5" s="36"/>
    </row>
    <row r="6" spans="1:3" ht="15.75">
      <c r="A6" s="55">
        <v>1</v>
      </c>
      <c r="B6" s="56" t="s">
        <v>6</v>
      </c>
      <c r="C6" s="66">
        <v>59759.31</v>
      </c>
    </row>
    <row r="7" spans="1:3" ht="15.75">
      <c r="A7" s="55">
        <v>2</v>
      </c>
      <c r="B7" s="56" t="s">
        <v>7</v>
      </c>
      <c r="C7" s="66"/>
    </row>
    <row r="8" spans="1:3" ht="15.75">
      <c r="A8" s="55">
        <v>3</v>
      </c>
      <c r="B8" s="56" t="s">
        <v>8</v>
      </c>
      <c r="C8" s="66"/>
    </row>
    <row r="9" spans="1:3" ht="15.75">
      <c r="A9" s="55">
        <v>4</v>
      </c>
      <c r="B9" s="56" t="s">
        <v>9</v>
      </c>
      <c r="C9" s="66"/>
    </row>
    <row r="10" spans="1:3" ht="15.75">
      <c r="A10" s="55">
        <v>5</v>
      </c>
      <c r="B10" s="56" t="s">
        <v>10</v>
      </c>
      <c r="C10" s="66"/>
    </row>
    <row r="11" spans="1:3" ht="15.75">
      <c r="A11" s="55">
        <v>6</v>
      </c>
      <c r="B11" s="56" t="s">
        <v>11</v>
      </c>
      <c r="C11" s="66">
        <v>16638.9</v>
      </c>
    </row>
    <row r="12" spans="1:3" ht="15.75">
      <c r="A12" s="55">
        <v>7</v>
      </c>
      <c r="B12" s="56" t="s">
        <v>59</v>
      </c>
      <c r="C12" s="66">
        <v>130923.92</v>
      </c>
    </row>
    <row r="13" spans="1:3" ht="15.75">
      <c r="A13" s="55">
        <v>8</v>
      </c>
      <c r="B13" s="56" t="s">
        <v>12</v>
      </c>
      <c r="C13" s="66">
        <v>93337.16</v>
      </c>
    </row>
    <row r="14" spans="1:3" ht="15.75">
      <c r="A14" s="55">
        <v>9</v>
      </c>
      <c r="B14" s="56" t="s">
        <v>13</v>
      </c>
      <c r="C14" s="66">
        <v>26852.66</v>
      </c>
    </row>
    <row r="15" spans="1:3" ht="15.75">
      <c r="A15" s="55">
        <v>10</v>
      </c>
      <c r="B15" s="56" t="s">
        <v>14</v>
      </c>
      <c r="C15" s="66"/>
    </row>
    <row r="16" spans="1:3" ht="15.75">
      <c r="A16" s="55">
        <v>11</v>
      </c>
      <c r="B16" s="56" t="s">
        <v>15</v>
      </c>
      <c r="C16" s="66"/>
    </row>
    <row r="17" spans="1:3" ht="15.75">
      <c r="A17" s="55">
        <v>12</v>
      </c>
      <c r="B17" s="56" t="s">
        <v>16</v>
      </c>
      <c r="C17" s="66"/>
    </row>
    <row r="18" spans="1:3" ht="15.75">
      <c r="A18" s="55">
        <v>13</v>
      </c>
      <c r="B18" s="56" t="s">
        <v>17</v>
      </c>
      <c r="C18" s="66"/>
    </row>
    <row r="19" spans="1:3" ht="15.75">
      <c r="A19" s="55">
        <v>14</v>
      </c>
      <c r="B19" s="56" t="s">
        <v>18</v>
      </c>
      <c r="C19" s="66"/>
    </row>
    <row r="20" spans="1:3" ht="15.75">
      <c r="A20" s="55">
        <v>15</v>
      </c>
      <c r="B20" s="56" t="s">
        <v>19</v>
      </c>
      <c r="C20" s="66"/>
    </row>
    <row r="21" spans="1:3" ht="15.75">
      <c r="A21" s="55">
        <v>16</v>
      </c>
      <c r="B21" s="56" t="s">
        <v>20</v>
      </c>
      <c r="C21" s="66"/>
    </row>
    <row r="22" spans="1:3" ht="15.75">
      <c r="A22" s="55">
        <v>17</v>
      </c>
      <c r="B22" s="56" t="s">
        <v>21</v>
      </c>
      <c r="C22" s="66"/>
    </row>
    <row r="23" spans="1:3" ht="15.75">
      <c r="A23" s="55">
        <v>18</v>
      </c>
      <c r="B23" s="56" t="s">
        <v>22</v>
      </c>
      <c r="C23" s="66"/>
    </row>
    <row r="24" spans="1:3" ht="15.75">
      <c r="A24" s="55">
        <v>19</v>
      </c>
      <c r="B24" s="56" t="s">
        <v>23</v>
      </c>
      <c r="C24" s="66"/>
    </row>
    <row r="25" spans="1:3" ht="15.75">
      <c r="A25" s="55">
        <v>20</v>
      </c>
      <c r="B25" s="56" t="s">
        <v>24</v>
      </c>
      <c r="C25" s="66"/>
    </row>
    <row r="26" spans="1:3" ht="15.75">
      <c r="A26" s="55">
        <v>21</v>
      </c>
      <c r="B26" s="56" t="s">
        <v>25</v>
      </c>
      <c r="C26" s="66"/>
    </row>
    <row r="27" spans="1:3" ht="15.75">
      <c r="A27" s="55">
        <v>22</v>
      </c>
      <c r="B27" s="56" t="s">
        <v>26</v>
      </c>
      <c r="C27" s="66">
        <v>72649.94</v>
      </c>
    </row>
    <row r="28" spans="1:3" ht="15.75">
      <c r="A28" s="55">
        <v>23</v>
      </c>
      <c r="B28" s="56" t="s">
        <v>27</v>
      </c>
      <c r="C28" s="66"/>
    </row>
    <row r="29" spans="1:3" ht="15.75">
      <c r="A29" s="55">
        <v>24</v>
      </c>
      <c r="B29" s="56" t="s">
        <v>28</v>
      </c>
      <c r="C29" s="66"/>
    </row>
    <row r="30" spans="1:3" ht="15.75">
      <c r="A30" s="55">
        <v>25</v>
      </c>
      <c r="B30" s="56" t="s">
        <v>29</v>
      </c>
      <c r="C30" s="66"/>
    </row>
    <row r="31" spans="1:3" ht="15.75">
      <c r="A31" s="55">
        <v>26</v>
      </c>
      <c r="B31" s="56" t="s">
        <v>30</v>
      </c>
      <c r="C31" s="66"/>
    </row>
    <row r="32" spans="1:3" ht="15.75">
      <c r="A32" s="55">
        <v>27</v>
      </c>
      <c r="B32" s="56" t="s">
        <v>40</v>
      </c>
      <c r="C32" s="66"/>
    </row>
    <row r="33" spans="1:3" ht="15.75">
      <c r="A33" s="55">
        <v>28</v>
      </c>
      <c r="B33" s="56" t="s">
        <v>41</v>
      </c>
      <c r="C33" s="66"/>
    </row>
    <row r="34" spans="1:3" ht="15.75">
      <c r="A34" s="55">
        <v>29</v>
      </c>
      <c r="B34" s="56" t="s">
        <v>42</v>
      </c>
      <c r="C34" s="66"/>
    </row>
    <row r="35" spans="1:3" ht="15.75">
      <c r="A35" s="55">
        <v>30</v>
      </c>
      <c r="B35" s="56" t="s">
        <v>44</v>
      </c>
      <c r="C35" s="66"/>
    </row>
    <row r="36" spans="1:3" ht="15.75">
      <c r="A36" s="55">
        <v>31</v>
      </c>
      <c r="B36" s="56" t="s">
        <v>45</v>
      </c>
      <c r="C36" s="66"/>
    </row>
    <row r="37" spans="1:3" ht="15.75">
      <c r="A37" s="55">
        <v>32</v>
      </c>
      <c r="B37" s="56" t="s">
        <v>47</v>
      </c>
      <c r="C37" s="66"/>
    </row>
    <row r="38" spans="1:3" ht="15.75">
      <c r="A38" s="55">
        <v>33</v>
      </c>
      <c r="B38" s="56" t="s">
        <v>60</v>
      </c>
      <c r="C38" s="66"/>
    </row>
    <row r="39" spans="1:3" ht="15.75">
      <c r="A39" s="55">
        <v>34</v>
      </c>
      <c r="B39" s="56" t="s">
        <v>61</v>
      </c>
      <c r="C39" s="66"/>
    </row>
    <row r="40" spans="1:3" ht="15.75">
      <c r="A40" s="55">
        <v>35</v>
      </c>
      <c r="B40" s="56" t="s">
        <v>71</v>
      </c>
      <c r="C40" s="66"/>
    </row>
    <row r="41" spans="1:3" ht="15.75">
      <c r="A41" s="57"/>
      <c r="B41" s="57" t="s">
        <v>31</v>
      </c>
      <c r="C41" s="67">
        <f>SUM(C6:C40)</f>
        <v>400161.89</v>
      </c>
    </row>
  </sheetData>
  <printOptions/>
  <pageMargins left="0.75" right="0.75" top="1" bottom="1" header="0.5" footer="0.5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41"/>
  <sheetViews>
    <sheetView workbookViewId="0" topLeftCell="A1">
      <selection activeCell="C6" sqref="C6:C40"/>
    </sheetView>
  </sheetViews>
  <sheetFormatPr defaultColWidth="9.140625" defaultRowHeight="12.75"/>
  <cols>
    <col min="2" max="2" width="28.8515625" style="0" customWidth="1"/>
    <col min="3" max="3" width="16.28125" style="0" customWidth="1"/>
    <col min="5" max="5" width="29.00390625" style="0" customWidth="1"/>
  </cols>
  <sheetData>
    <row r="3" spans="1:5" ht="15">
      <c r="A3" s="85" t="s">
        <v>88</v>
      </c>
      <c r="B3" s="85"/>
      <c r="C3" s="85"/>
      <c r="D3" s="85"/>
      <c r="E3" s="85"/>
    </row>
    <row r="4" spans="1:5" ht="14.25">
      <c r="A4" s="36"/>
      <c r="B4" s="36"/>
      <c r="C4" s="38"/>
      <c r="D4" s="1"/>
      <c r="E4" s="1"/>
    </row>
    <row r="5" spans="1:5" ht="15.75">
      <c r="A5" s="50" t="s">
        <v>0</v>
      </c>
      <c r="B5" s="51" t="s">
        <v>1</v>
      </c>
      <c r="C5" s="51" t="s">
        <v>69</v>
      </c>
      <c r="D5" s="36"/>
      <c r="E5" s="36"/>
    </row>
    <row r="6" spans="1:5" ht="15.75">
      <c r="A6" s="55">
        <v>1</v>
      </c>
      <c r="B6" s="56" t="s">
        <v>6</v>
      </c>
      <c r="C6" s="6">
        <v>86645.79</v>
      </c>
      <c r="D6" s="36"/>
      <c r="E6" s="36"/>
    </row>
    <row r="7" spans="1:5" ht="15.75">
      <c r="A7" s="55">
        <v>2</v>
      </c>
      <c r="B7" s="56" t="s">
        <v>7</v>
      </c>
      <c r="C7" s="6"/>
      <c r="D7" s="36"/>
      <c r="E7" s="36"/>
    </row>
    <row r="8" spans="1:3" ht="15.75">
      <c r="A8" s="55">
        <v>3</v>
      </c>
      <c r="B8" s="56" t="s">
        <v>8</v>
      </c>
      <c r="C8" s="66"/>
    </row>
    <row r="9" spans="1:3" ht="15.75">
      <c r="A9" s="55">
        <v>4</v>
      </c>
      <c r="B9" s="56" t="s">
        <v>9</v>
      </c>
      <c r="C9" s="66"/>
    </row>
    <row r="10" spans="1:3" ht="15.75">
      <c r="A10" s="55">
        <v>5</v>
      </c>
      <c r="B10" s="56" t="s">
        <v>10</v>
      </c>
      <c r="C10" s="66">
        <v>8722.55</v>
      </c>
    </row>
    <row r="11" spans="1:3" ht="15.75">
      <c r="A11" s="55">
        <v>6</v>
      </c>
      <c r="B11" s="56" t="s">
        <v>11</v>
      </c>
      <c r="C11" s="66">
        <v>2586.74</v>
      </c>
    </row>
    <row r="12" spans="1:3" ht="15.75">
      <c r="A12" s="55">
        <v>7</v>
      </c>
      <c r="B12" s="56" t="s">
        <v>59</v>
      </c>
      <c r="C12" s="66">
        <v>305.75</v>
      </c>
    </row>
    <row r="13" spans="1:3" ht="15.75">
      <c r="A13" s="55">
        <v>8</v>
      </c>
      <c r="B13" s="56" t="s">
        <v>12</v>
      </c>
      <c r="C13" s="66">
        <v>179985.58</v>
      </c>
    </row>
    <row r="14" spans="1:3" ht="15.75">
      <c r="A14" s="55">
        <v>9</v>
      </c>
      <c r="B14" s="56" t="s">
        <v>13</v>
      </c>
      <c r="C14" s="66"/>
    </row>
    <row r="15" spans="1:3" ht="15.75">
      <c r="A15" s="55">
        <v>10</v>
      </c>
      <c r="B15" s="56" t="s">
        <v>14</v>
      </c>
      <c r="C15" s="66">
        <v>31266.51</v>
      </c>
    </row>
    <row r="16" spans="1:3" ht="15.75">
      <c r="A16" s="55">
        <v>11</v>
      </c>
      <c r="B16" s="56" t="s">
        <v>15</v>
      </c>
      <c r="C16" s="66">
        <v>867.08</v>
      </c>
    </row>
    <row r="17" spans="1:3" ht="15.75">
      <c r="A17" s="55">
        <v>12</v>
      </c>
      <c r="B17" s="56" t="s">
        <v>16</v>
      </c>
      <c r="C17" s="66"/>
    </row>
    <row r="18" spans="1:3" ht="15.75">
      <c r="A18" s="55">
        <v>13</v>
      </c>
      <c r="B18" s="56" t="s">
        <v>17</v>
      </c>
      <c r="C18" s="66"/>
    </row>
    <row r="19" spans="1:3" ht="15.75">
      <c r="A19" s="55">
        <v>14</v>
      </c>
      <c r="B19" s="56" t="s">
        <v>18</v>
      </c>
      <c r="C19" s="66"/>
    </row>
    <row r="20" spans="1:3" ht="15.75">
      <c r="A20" s="55">
        <v>15</v>
      </c>
      <c r="B20" s="56" t="s">
        <v>19</v>
      </c>
      <c r="C20" s="66"/>
    </row>
    <row r="21" spans="1:3" ht="15.75">
      <c r="A21" s="55">
        <v>16</v>
      </c>
      <c r="B21" s="56" t="s">
        <v>20</v>
      </c>
      <c r="C21" s="66"/>
    </row>
    <row r="22" spans="1:3" ht="15.75">
      <c r="A22" s="55">
        <v>17</v>
      </c>
      <c r="B22" s="56" t="s">
        <v>21</v>
      </c>
      <c r="C22" s="66">
        <v>952.38</v>
      </c>
    </row>
    <row r="23" spans="1:3" ht="15.75">
      <c r="A23" s="55">
        <v>18</v>
      </c>
      <c r="B23" s="56" t="s">
        <v>22</v>
      </c>
      <c r="C23" s="66">
        <v>2026.11</v>
      </c>
    </row>
    <row r="24" spans="1:3" ht="15.75">
      <c r="A24" s="55">
        <v>19</v>
      </c>
      <c r="B24" s="56" t="s">
        <v>23</v>
      </c>
      <c r="C24" s="66"/>
    </row>
    <row r="25" spans="1:3" ht="15.75">
      <c r="A25" s="55">
        <v>20</v>
      </c>
      <c r="B25" s="56" t="s">
        <v>24</v>
      </c>
      <c r="C25" s="66">
        <v>375.99</v>
      </c>
    </row>
    <row r="26" spans="1:3" ht="15.75">
      <c r="A26" s="55">
        <v>21</v>
      </c>
      <c r="B26" s="56" t="s">
        <v>25</v>
      </c>
      <c r="C26" s="66">
        <v>125762.35</v>
      </c>
    </row>
    <row r="27" spans="1:3" ht="15.75">
      <c r="A27" s="55">
        <v>22</v>
      </c>
      <c r="B27" s="56" t="s">
        <v>26</v>
      </c>
      <c r="C27" s="66">
        <v>807.6</v>
      </c>
    </row>
    <row r="28" spans="1:3" ht="15.75">
      <c r="A28" s="55">
        <v>23</v>
      </c>
      <c r="B28" s="56" t="s">
        <v>27</v>
      </c>
      <c r="C28" s="66"/>
    </row>
    <row r="29" spans="1:3" ht="15.75">
      <c r="A29" s="55">
        <v>24</v>
      </c>
      <c r="B29" s="56" t="s">
        <v>28</v>
      </c>
      <c r="C29" s="66"/>
    </row>
    <row r="30" spans="1:3" ht="15.75">
      <c r="A30" s="55">
        <v>25</v>
      </c>
      <c r="B30" s="56" t="s">
        <v>29</v>
      </c>
      <c r="C30" s="66">
        <v>46643.23</v>
      </c>
    </row>
    <row r="31" spans="1:3" ht="15.75">
      <c r="A31" s="55">
        <v>26</v>
      </c>
      <c r="B31" s="56" t="s">
        <v>30</v>
      </c>
      <c r="C31" s="66">
        <v>14568.91</v>
      </c>
    </row>
    <row r="32" spans="1:3" ht="15.75">
      <c r="A32" s="55">
        <v>27</v>
      </c>
      <c r="B32" s="56" t="s">
        <v>40</v>
      </c>
      <c r="C32" s="66"/>
    </row>
    <row r="33" spans="1:3" ht="15.75">
      <c r="A33" s="55">
        <v>28</v>
      </c>
      <c r="B33" s="56" t="s">
        <v>41</v>
      </c>
      <c r="C33" s="66"/>
    </row>
    <row r="34" spans="1:3" ht="15.75">
      <c r="A34" s="55">
        <v>29</v>
      </c>
      <c r="B34" s="56" t="s">
        <v>42</v>
      </c>
      <c r="C34" s="66">
        <v>634.92</v>
      </c>
    </row>
    <row r="35" spans="1:3" ht="15.75">
      <c r="A35" s="55">
        <v>30</v>
      </c>
      <c r="B35" s="56" t="s">
        <v>44</v>
      </c>
      <c r="C35" s="66"/>
    </row>
    <row r="36" spans="1:3" ht="15.75">
      <c r="A36" s="55">
        <v>31</v>
      </c>
      <c r="B36" s="56" t="s">
        <v>45</v>
      </c>
      <c r="C36" s="66"/>
    </row>
    <row r="37" spans="1:3" ht="15.75">
      <c r="A37" s="55">
        <v>32</v>
      </c>
      <c r="B37" s="56" t="s">
        <v>47</v>
      </c>
      <c r="C37" s="66">
        <v>1192.54</v>
      </c>
    </row>
    <row r="38" spans="1:3" ht="15.75">
      <c r="A38" s="55">
        <v>33</v>
      </c>
      <c r="B38" s="56" t="s">
        <v>60</v>
      </c>
      <c r="C38" s="66"/>
    </row>
    <row r="39" spans="1:3" ht="15.75">
      <c r="A39" s="55">
        <v>34</v>
      </c>
      <c r="B39" s="56" t="s">
        <v>61</v>
      </c>
      <c r="C39" s="66">
        <v>74.23</v>
      </c>
    </row>
    <row r="40" spans="1:3" ht="15.75">
      <c r="A40" s="55">
        <v>35</v>
      </c>
      <c r="B40" s="56" t="s">
        <v>71</v>
      </c>
      <c r="C40" s="66"/>
    </row>
    <row r="41" spans="1:3" ht="15.75">
      <c r="A41" s="57"/>
      <c r="B41" s="57" t="s">
        <v>31</v>
      </c>
      <c r="C41" s="67">
        <f>SUM(C6:C40)</f>
        <v>503418.25999999983</v>
      </c>
    </row>
  </sheetData>
  <mergeCells count="1">
    <mergeCell ref="A3:E3"/>
  </mergeCells>
  <printOptions/>
  <pageMargins left="0.75" right="0.75" top="1" bottom="1" header="0.5" footer="0.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2020-12-14T11:48:21Z</cp:lastPrinted>
  <dcterms:created xsi:type="dcterms:W3CDTF">2011-06-30T06:54:46Z</dcterms:created>
  <dcterms:modified xsi:type="dcterms:W3CDTF">2021-02-22T07:35:53Z</dcterms:modified>
  <cp:category/>
  <cp:version/>
  <cp:contentType/>
  <cp:contentStatus/>
</cp:coreProperties>
</file>